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22FY\"/>
    </mc:Choice>
  </mc:AlternateContent>
  <bookViews>
    <workbookView xWindow="-15" yWindow="-15" windowWidth="14445" windowHeight="13155" tabRatio="593"/>
  </bookViews>
  <sheets>
    <sheet name="Weekly" sheetId="1" r:id="rId1"/>
    <sheet name="YTD Summary" sheetId="7" r:id="rId2"/>
    <sheet name="Mountaineer" sheetId="2" r:id="rId3"/>
    <sheet name="Wheeling" sheetId="3" r:id="rId4"/>
    <sheet name="Mardi Gras" sheetId="4" r:id="rId5"/>
    <sheet name="Charles Town" sheetId="5" r:id="rId6"/>
    <sheet name="Total" sheetId="6" r:id="rId7"/>
  </sheets>
  <definedNames>
    <definedName name="_xlnm.Print_Area" localSheetId="5">'Charles Town'!$A$1:$W$65</definedName>
    <definedName name="_xlnm.Print_Area" localSheetId="4">'Mardi Gras'!$A$1:$W$65</definedName>
    <definedName name="_xlnm.Print_Area" localSheetId="2">Mountaineer!$A$1:$W$65</definedName>
    <definedName name="_xlnm.Print_Area" localSheetId="6">Total!$A$1:$W$65</definedName>
    <definedName name="_xlnm.Print_Area" localSheetId="0">Weekly!$A$1:$L$41</definedName>
    <definedName name="_xlnm.Print_Area" localSheetId="3">Wheeling!$A$1:$W$65</definedName>
    <definedName name="_xlnm.Print_Area" localSheetId="1">'YTD Summary'!$A$1:$L$52</definedName>
  </definedNames>
  <calcPr calcId="162913"/>
</workbook>
</file>

<file path=xl/calcChain.xml><?xml version="1.0" encoding="utf-8"?>
<calcChain xmlns="http://schemas.openxmlformats.org/spreadsheetml/2006/main">
  <c r="E38" i="7" l="1"/>
  <c r="E36" i="7"/>
  <c r="D38" i="7"/>
  <c r="C38" i="7"/>
  <c r="D34" i="7"/>
  <c r="C34" i="7"/>
  <c r="B30" i="7"/>
  <c r="B32" i="7"/>
  <c r="B38" i="7"/>
  <c r="F38" i="7"/>
  <c r="B22" i="7"/>
  <c r="B16" i="7"/>
  <c r="B14" i="7"/>
  <c r="C22" i="7"/>
  <c r="E22" i="7"/>
  <c r="F22" i="7"/>
  <c r="I22" i="7"/>
  <c r="I18" i="7"/>
  <c r="K22" i="7"/>
  <c r="C32" i="1" l="1"/>
  <c r="C30" i="1"/>
  <c r="D36" i="1"/>
  <c r="D34" i="1"/>
  <c r="E38" i="1"/>
  <c r="F38" i="1"/>
  <c r="B22" i="1"/>
  <c r="B16" i="1"/>
  <c r="B18" i="1"/>
  <c r="B14" i="1"/>
  <c r="F16" i="1"/>
  <c r="F14" i="1"/>
  <c r="W60" i="6"/>
  <c r="O58" i="5"/>
  <c r="U58" i="4"/>
  <c r="T58" i="4"/>
  <c r="O58" i="4"/>
  <c r="U58" i="3"/>
  <c r="T58" i="3"/>
  <c r="Q58" i="3"/>
  <c r="O58" i="3"/>
  <c r="N58" i="3"/>
  <c r="T58" i="2"/>
  <c r="Q58" i="2"/>
  <c r="O58" i="2"/>
  <c r="N58" i="2"/>
  <c r="G58" i="5"/>
  <c r="I58" i="4"/>
  <c r="F58" i="2"/>
  <c r="L36" i="1"/>
  <c r="L34" i="1"/>
  <c r="L32" i="1"/>
  <c r="L30" i="1"/>
  <c r="E20" i="1"/>
  <c r="D20" i="1"/>
  <c r="C20" i="1"/>
  <c r="B20" i="1"/>
  <c r="F18" i="1"/>
  <c r="D18" i="1"/>
  <c r="C18" i="1"/>
  <c r="D16" i="1"/>
  <c r="C16" i="1"/>
  <c r="E14" i="1"/>
  <c r="D14" i="1"/>
  <c r="C14" i="1"/>
  <c r="W58" i="6"/>
  <c r="L38" i="1" s="1"/>
  <c r="D58" i="6"/>
  <c r="D22" i="1" s="1"/>
  <c r="C58" i="6"/>
  <c r="C22" i="1" s="1"/>
  <c r="B58" i="6"/>
  <c r="A58" i="6"/>
  <c r="E58" i="5"/>
  <c r="V58" i="5" s="1"/>
  <c r="K36" i="1" s="1"/>
  <c r="A58" i="5"/>
  <c r="E58" i="4"/>
  <c r="G58" i="4" s="1"/>
  <c r="G18" i="1" s="1"/>
  <c r="A58" i="4"/>
  <c r="E58" i="3"/>
  <c r="V58" i="3" s="1"/>
  <c r="K32" i="1" s="1"/>
  <c r="A58" i="3"/>
  <c r="E58" i="2"/>
  <c r="E18" i="1" l="1"/>
  <c r="E16" i="1"/>
  <c r="F58" i="3"/>
  <c r="E58" i="6"/>
  <c r="E22" i="1" s="1"/>
  <c r="F58" i="5"/>
  <c r="G20" i="1"/>
  <c r="V58" i="4"/>
  <c r="K34" i="1" s="1"/>
  <c r="H58" i="4"/>
  <c r="G58" i="3"/>
  <c r="G16" i="1" s="1"/>
  <c r="G58" i="2"/>
  <c r="V58" i="2"/>
  <c r="H58" i="5" l="1"/>
  <c r="F20" i="1"/>
  <c r="J58" i="4"/>
  <c r="I18" i="1" s="1"/>
  <c r="H18" i="1"/>
  <c r="H58" i="3"/>
  <c r="F58" i="6"/>
  <c r="F22" i="1" s="1"/>
  <c r="V58" i="6"/>
  <c r="K38" i="1" s="1"/>
  <c r="K30" i="1"/>
  <c r="H58" i="2"/>
  <c r="G14" i="1"/>
  <c r="G58" i="6"/>
  <c r="G22" i="1" s="1"/>
  <c r="U57" i="4"/>
  <c r="T57" i="4"/>
  <c r="O57" i="4"/>
  <c r="T57" i="2"/>
  <c r="Q57" i="2"/>
  <c r="O57" i="2"/>
  <c r="N57" i="2"/>
  <c r="I58" i="5" l="1"/>
  <c r="H20" i="1"/>
  <c r="K58" i="4"/>
  <c r="J18" i="1" s="1"/>
  <c r="I58" i="3"/>
  <c r="H16" i="1"/>
  <c r="I58" i="2"/>
  <c r="H14" i="1"/>
  <c r="H58" i="6"/>
  <c r="H22" i="1" s="1"/>
  <c r="I57" i="5"/>
  <c r="I57" i="4"/>
  <c r="G57" i="4"/>
  <c r="F57" i="3"/>
  <c r="F57" i="2"/>
  <c r="W57" i="6"/>
  <c r="D57" i="6"/>
  <c r="C57" i="6"/>
  <c r="B57" i="6"/>
  <c r="E57" i="5"/>
  <c r="E57" i="4"/>
  <c r="E57" i="3"/>
  <c r="E57" i="2"/>
  <c r="K58" i="5" l="1"/>
  <c r="J20" i="1" s="1"/>
  <c r="J58" i="5"/>
  <c r="L58" i="4"/>
  <c r="Q58" i="4" s="1"/>
  <c r="F34" i="1" s="1"/>
  <c r="K58" i="3"/>
  <c r="J16" i="1" s="1"/>
  <c r="J58" i="3"/>
  <c r="I58" i="6"/>
  <c r="K58" i="2"/>
  <c r="J58" i="2"/>
  <c r="G57" i="5"/>
  <c r="E57" i="6"/>
  <c r="F57" i="5"/>
  <c r="V57" i="5"/>
  <c r="V57" i="4"/>
  <c r="H57" i="4"/>
  <c r="V57" i="3"/>
  <c r="G57" i="3"/>
  <c r="V57" i="2"/>
  <c r="G57" i="2"/>
  <c r="I20" i="1" l="1"/>
  <c r="L58" i="5"/>
  <c r="P58" i="4"/>
  <c r="E34" i="1" s="1"/>
  <c r="M58" i="4"/>
  <c r="B34" i="1" s="1"/>
  <c r="N58" i="4"/>
  <c r="C34" i="1" s="1"/>
  <c r="J34" i="1"/>
  <c r="K18" i="1"/>
  <c r="I34" i="1"/>
  <c r="R58" i="4"/>
  <c r="G34" i="1" s="1"/>
  <c r="S58" i="4"/>
  <c r="H34" i="1" s="1"/>
  <c r="I16" i="1"/>
  <c r="L58" i="3"/>
  <c r="I14" i="1"/>
  <c r="J58" i="6"/>
  <c r="I22" i="1" s="1"/>
  <c r="L58" i="2"/>
  <c r="K58" i="6"/>
  <c r="J22" i="1" s="1"/>
  <c r="J14" i="1"/>
  <c r="H57" i="5"/>
  <c r="K57" i="4"/>
  <c r="H57" i="2"/>
  <c r="V57" i="6"/>
  <c r="G57" i="6"/>
  <c r="F57" i="6"/>
  <c r="H57" i="3"/>
  <c r="U56" i="4"/>
  <c r="T56" i="4"/>
  <c r="O56" i="4"/>
  <c r="U56" i="3"/>
  <c r="T56" i="3"/>
  <c r="Q56" i="3"/>
  <c r="O56" i="3"/>
  <c r="N56" i="3"/>
  <c r="T56" i="2"/>
  <c r="O56" i="2"/>
  <c r="N56" i="2"/>
  <c r="K20" i="1" l="1"/>
  <c r="S58" i="5"/>
  <c r="H36" i="1" s="1"/>
  <c r="R58" i="5"/>
  <c r="G36" i="1" s="1"/>
  <c r="U58" i="5"/>
  <c r="J36" i="1" s="1"/>
  <c r="Q58" i="5"/>
  <c r="F36" i="1" s="1"/>
  <c r="M58" i="5"/>
  <c r="B36" i="1" s="1"/>
  <c r="T58" i="5"/>
  <c r="I36" i="1" s="1"/>
  <c r="P58" i="5"/>
  <c r="E36" i="1" s="1"/>
  <c r="N58" i="5"/>
  <c r="C36" i="1" s="1"/>
  <c r="K16" i="1"/>
  <c r="R58" i="3"/>
  <c r="G32" i="1" s="1"/>
  <c r="P58" i="3"/>
  <c r="E32" i="1" s="1"/>
  <c r="F32" i="1"/>
  <c r="D32" i="1"/>
  <c r="M58" i="3"/>
  <c r="B32" i="1" s="1"/>
  <c r="S58" i="3"/>
  <c r="H32" i="1" s="1"/>
  <c r="I32" i="1"/>
  <c r="L58" i="6"/>
  <c r="K22" i="1" s="1"/>
  <c r="K14" i="1"/>
  <c r="R58" i="2"/>
  <c r="M58" i="2"/>
  <c r="S58" i="2"/>
  <c r="P58" i="2"/>
  <c r="J57" i="4"/>
  <c r="I57" i="2"/>
  <c r="I57" i="3"/>
  <c r="H57" i="6"/>
  <c r="G56" i="5"/>
  <c r="G56" i="4"/>
  <c r="F56" i="3"/>
  <c r="U58" i="6" l="1"/>
  <c r="J38" i="1" s="1"/>
  <c r="J32" i="1"/>
  <c r="F30" i="1"/>
  <c r="Q58" i="6"/>
  <c r="R58" i="6"/>
  <c r="G38" i="1" s="1"/>
  <c r="G30" i="1"/>
  <c r="T58" i="6"/>
  <c r="I38" i="1" s="1"/>
  <c r="I30" i="1"/>
  <c r="M58" i="6"/>
  <c r="B38" i="1" s="1"/>
  <c r="B30" i="1"/>
  <c r="P58" i="6"/>
  <c r="E30" i="1"/>
  <c r="N58" i="6"/>
  <c r="C38" i="1" s="1"/>
  <c r="H30" i="1"/>
  <c r="S58" i="6"/>
  <c r="H38" i="1" s="1"/>
  <c r="O58" i="6"/>
  <c r="D38" i="1" s="1"/>
  <c r="D30" i="1"/>
  <c r="K57" i="5"/>
  <c r="J57" i="5"/>
  <c r="L57" i="4"/>
  <c r="Q57" i="4" s="1"/>
  <c r="J57" i="2"/>
  <c r="K57" i="2"/>
  <c r="J57" i="3"/>
  <c r="I57" i="6"/>
  <c r="K57" i="3"/>
  <c r="W56" i="6"/>
  <c r="D56" i="6"/>
  <c r="C56" i="6"/>
  <c r="B56" i="6"/>
  <c r="E56" i="5"/>
  <c r="V56" i="5" s="1"/>
  <c r="E56" i="4"/>
  <c r="E56" i="3"/>
  <c r="G56" i="3" s="1"/>
  <c r="E56" i="2"/>
  <c r="V56" i="2" s="1"/>
  <c r="L57" i="5" l="1"/>
  <c r="O57" i="5" s="1"/>
  <c r="R57" i="4"/>
  <c r="S57" i="4"/>
  <c r="N57" i="4"/>
  <c r="M57" i="4"/>
  <c r="P57" i="4"/>
  <c r="L57" i="2"/>
  <c r="J57" i="6"/>
  <c r="L57" i="3"/>
  <c r="K57" i="6"/>
  <c r="E56" i="6"/>
  <c r="F56" i="5"/>
  <c r="V56" i="4"/>
  <c r="V56" i="3"/>
  <c r="F56" i="2"/>
  <c r="G56" i="2"/>
  <c r="Q57" i="5" l="1"/>
  <c r="N57" i="5"/>
  <c r="M57" i="5"/>
  <c r="P57" i="5"/>
  <c r="T57" i="5"/>
  <c r="R57" i="5"/>
  <c r="S57" i="5"/>
  <c r="U57" i="5"/>
  <c r="M57" i="2"/>
  <c r="P57" i="2"/>
  <c r="S57" i="2"/>
  <c r="R57" i="2"/>
  <c r="S57" i="3"/>
  <c r="T57" i="3"/>
  <c r="L57" i="6"/>
  <c r="Q57" i="3"/>
  <c r="O57" i="3"/>
  <c r="N57" i="3"/>
  <c r="U57" i="3"/>
  <c r="M57" i="3"/>
  <c r="P57" i="3"/>
  <c r="R57" i="3"/>
  <c r="V56" i="6"/>
  <c r="H56" i="5"/>
  <c r="H56" i="4"/>
  <c r="H56" i="3"/>
  <c r="G56" i="6"/>
  <c r="F56" i="6"/>
  <c r="H56" i="2"/>
  <c r="O55" i="3"/>
  <c r="N55" i="3"/>
  <c r="T55" i="2"/>
  <c r="Q55" i="2"/>
  <c r="O55" i="2"/>
  <c r="N55" i="2"/>
  <c r="P57" i="6" l="1"/>
  <c r="M57" i="6"/>
  <c r="S57" i="6"/>
  <c r="U57" i="6"/>
  <c r="N57" i="6"/>
  <c r="T57" i="6"/>
  <c r="O57" i="6"/>
  <c r="Q57" i="6"/>
  <c r="R57" i="6"/>
  <c r="I56" i="5"/>
  <c r="I56" i="4"/>
  <c r="I56" i="3"/>
  <c r="I56" i="2"/>
  <c r="H56" i="6"/>
  <c r="K56" i="2"/>
  <c r="I55" i="4"/>
  <c r="J55" i="4" s="1"/>
  <c r="F55" i="3"/>
  <c r="K56" i="5" l="1"/>
  <c r="J56" i="5"/>
  <c r="K56" i="4"/>
  <c r="J56" i="4"/>
  <c r="J56" i="3"/>
  <c r="K56" i="3"/>
  <c r="K56" i="6"/>
  <c r="J56" i="2"/>
  <c r="I56" i="6"/>
  <c r="K55" i="4"/>
  <c r="L55" i="4" s="1"/>
  <c r="L56" i="5" l="1"/>
  <c r="O56" i="5" s="1"/>
  <c r="L56" i="4"/>
  <c r="L56" i="3"/>
  <c r="J56" i="6"/>
  <c r="L56" i="2"/>
  <c r="T55" i="4"/>
  <c r="U55" i="4"/>
  <c r="O55" i="4"/>
  <c r="M55" i="4"/>
  <c r="P55" i="4"/>
  <c r="Q55" i="4"/>
  <c r="S55" i="4"/>
  <c r="R55" i="4"/>
  <c r="N55" i="4"/>
  <c r="T56" i="5" l="1"/>
  <c r="U56" i="5"/>
  <c r="M56" i="5"/>
  <c r="Q56" i="5"/>
  <c r="S56" i="5"/>
  <c r="R56" i="5"/>
  <c r="P56" i="5"/>
  <c r="N56" i="5"/>
  <c r="S56" i="4"/>
  <c r="R56" i="4"/>
  <c r="N56" i="4"/>
  <c r="P56" i="4"/>
  <c r="Q56" i="4"/>
  <c r="M56" i="4"/>
  <c r="S56" i="3"/>
  <c r="R56" i="3"/>
  <c r="P56" i="3"/>
  <c r="M56" i="3"/>
  <c r="L56" i="6"/>
  <c r="Q56" i="2"/>
  <c r="R56" i="2"/>
  <c r="P56" i="2"/>
  <c r="S56" i="2"/>
  <c r="M56" i="2"/>
  <c r="W55" i="6"/>
  <c r="D55" i="6"/>
  <c r="C55" i="6"/>
  <c r="B55" i="6"/>
  <c r="E55" i="5"/>
  <c r="E55" i="4"/>
  <c r="G55" i="4" s="1"/>
  <c r="E55" i="3"/>
  <c r="E55" i="2"/>
  <c r="V55" i="2" s="1"/>
  <c r="U56" i="6" l="1"/>
  <c r="P56" i="6"/>
  <c r="R56" i="6"/>
  <c r="Q56" i="6"/>
  <c r="M56" i="6"/>
  <c r="N56" i="6"/>
  <c r="T56" i="6"/>
  <c r="S56" i="6"/>
  <c r="O56" i="6"/>
  <c r="F55" i="2"/>
  <c r="H55" i="2" s="1"/>
  <c r="E55" i="6"/>
  <c r="F55" i="5"/>
  <c r="V55" i="5"/>
  <c r="G55" i="5"/>
  <c r="V55" i="4"/>
  <c r="H55" i="4"/>
  <c r="V55" i="3"/>
  <c r="G55" i="3"/>
  <c r="G55" i="2"/>
  <c r="J54" i="4"/>
  <c r="K54" i="4"/>
  <c r="V55" i="6" l="1"/>
  <c r="I55" i="2"/>
  <c r="G55" i="6"/>
  <c r="F55" i="6"/>
  <c r="H55" i="5"/>
  <c r="H55" i="3"/>
  <c r="K55" i="2"/>
  <c r="I55" i="5" l="1"/>
  <c r="K55" i="5" s="1"/>
  <c r="I55" i="3"/>
  <c r="J55" i="3" s="1"/>
  <c r="H55" i="6"/>
  <c r="J55" i="2"/>
  <c r="I55" i="6"/>
  <c r="J55" i="5"/>
  <c r="K55" i="3"/>
  <c r="K55" i="6" s="1"/>
  <c r="O54" i="3"/>
  <c r="T54" i="2"/>
  <c r="O54" i="2"/>
  <c r="N54" i="2"/>
  <c r="F54" i="2"/>
  <c r="L55" i="5" l="1"/>
  <c r="M55" i="5" s="1"/>
  <c r="L55" i="3"/>
  <c r="J55" i="6"/>
  <c r="L55" i="2"/>
  <c r="R55" i="5"/>
  <c r="N55" i="5"/>
  <c r="S55" i="5"/>
  <c r="Q55" i="5"/>
  <c r="P55" i="5"/>
  <c r="T55" i="3"/>
  <c r="S55" i="3"/>
  <c r="R55" i="3"/>
  <c r="Q55" i="3"/>
  <c r="P55" i="3"/>
  <c r="U55" i="3"/>
  <c r="M55" i="3"/>
  <c r="W54" i="6"/>
  <c r="D54" i="6"/>
  <c r="C54" i="6"/>
  <c r="B54" i="6"/>
  <c r="E54" i="5"/>
  <c r="E54" i="4"/>
  <c r="V54" i="4" s="1"/>
  <c r="E54" i="3"/>
  <c r="E54" i="2"/>
  <c r="V54" i="2" s="1"/>
  <c r="U55" i="5" l="1"/>
  <c r="T55" i="5"/>
  <c r="O55" i="5"/>
  <c r="U55" i="6"/>
  <c r="L55" i="6"/>
  <c r="S55" i="2"/>
  <c r="R55" i="2"/>
  <c r="P55" i="2"/>
  <c r="M55" i="2"/>
  <c r="G54" i="4"/>
  <c r="E54" i="6"/>
  <c r="F54" i="5"/>
  <c r="V54" i="5"/>
  <c r="G54" i="5"/>
  <c r="F54" i="3"/>
  <c r="V54" i="3"/>
  <c r="G54" i="3"/>
  <c r="G54" i="2"/>
  <c r="P55" i="6" l="1"/>
  <c r="O55" i="6"/>
  <c r="R55" i="6"/>
  <c r="T55" i="6"/>
  <c r="S55" i="6"/>
  <c r="M55" i="6"/>
  <c r="N55" i="6"/>
  <c r="Q55" i="6"/>
  <c r="V54" i="6"/>
  <c r="H54" i="4"/>
  <c r="H54" i="3"/>
  <c r="F54" i="6"/>
  <c r="G54" i="6"/>
  <c r="H54" i="2"/>
  <c r="H54" i="5"/>
  <c r="N53" i="4"/>
  <c r="U53" i="3"/>
  <c r="T53" i="3"/>
  <c r="Q53" i="3"/>
  <c r="O53" i="3"/>
  <c r="N53" i="3"/>
  <c r="T53" i="2"/>
  <c r="N53" i="2"/>
  <c r="I54" i="5" l="1"/>
  <c r="J54" i="5" s="1"/>
  <c r="I54" i="3"/>
  <c r="I54" i="2"/>
  <c r="H54" i="6"/>
  <c r="I53" i="5"/>
  <c r="G53" i="4"/>
  <c r="F53" i="2"/>
  <c r="K54" i="5" l="1"/>
  <c r="K54" i="3"/>
  <c r="J54" i="3"/>
  <c r="I54" i="6"/>
  <c r="J54" i="2"/>
  <c r="K54" i="2"/>
  <c r="W53" i="6"/>
  <c r="D53" i="6"/>
  <c r="C53" i="6"/>
  <c r="B53" i="6"/>
  <c r="E53" i="5"/>
  <c r="E53" i="4"/>
  <c r="H53" i="4" s="1"/>
  <c r="I53" i="4" s="1"/>
  <c r="E53" i="3"/>
  <c r="G53" i="3" s="1"/>
  <c r="E53" i="2"/>
  <c r="L54" i="5" l="1"/>
  <c r="O54" i="5" s="1"/>
  <c r="L54" i="4"/>
  <c r="L54" i="3"/>
  <c r="K54" i="6"/>
  <c r="L54" i="2"/>
  <c r="J54" i="6"/>
  <c r="H53" i="2"/>
  <c r="E53" i="6"/>
  <c r="F53" i="5"/>
  <c r="V53" i="5"/>
  <c r="G53" i="5"/>
  <c r="K53" i="4"/>
  <c r="J53" i="4"/>
  <c r="V53" i="4"/>
  <c r="F53" i="3"/>
  <c r="V53" i="3"/>
  <c r="V53" i="2"/>
  <c r="G53" i="2"/>
  <c r="T54" i="4" l="1"/>
  <c r="U54" i="4"/>
  <c r="U54" i="5"/>
  <c r="Q54" i="5"/>
  <c r="S54" i="5"/>
  <c r="T54" i="5"/>
  <c r="N54" i="5"/>
  <c r="P54" i="5"/>
  <c r="R54" i="5"/>
  <c r="M54" i="5"/>
  <c r="R54" i="4"/>
  <c r="S54" i="4"/>
  <c r="N54" i="3"/>
  <c r="U54" i="3"/>
  <c r="T54" i="3"/>
  <c r="Q54" i="3"/>
  <c r="P54" i="3"/>
  <c r="S54" i="3"/>
  <c r="R54" i="3"/>
  <c r="M54" i="3"/>
  <c r="L54" i="6"/>
  <c r="P54" i="2"/>
  <c r="R54" i="2"/>
  <c r="M54" i="2"/>
  <c r="S54" i="2"/>
  <c r="Q54" i="2"/>
  <c r="H53" i="3"/>
  <c r="I53" i="2"/>
  <c r="G53" i="6"/>
  <c r="V53" i="6"/>
  <c r="F53" i="6"/>
  <c r="H53" i="5"/>
  <c r="H53" i="6" s="1"/>
  <c r="L53" i="4"/>
  <c r="U54" i="6" l="1"/>
  <c r="M54" i="6"/>
  <c r="N54" i="6"/>
  <c r="O54" i="6"/>
  <c r="T54" i="6"/>
  <c r="P54" i="6"/>
  <c r="Q54" i="6"/>
  <c r="R54" i="6"/>
  <c r="S54" i="6"/>
  <c r="K53" i="5"/>
  <c r="Q53" i="4"/>
  <c r="U53" i="4"/>
  <c r="O53" i="4"/>
  <c r="T53" i="4"/>
  <c r="I53" i="3"/>
  <c r="K53" i="2"/>
  <c r="J53" i="2"/>
  <c r="L53" i="2" s="1"/>
  <c r="J53" i="5"/>
  <c r="R53" i="4"/>
  <c r="P53" i="4"/>
  <c r="S53" i="4"/>
  <c r="M53" i="4"/>
  <c r="U52" i="4"/>
  <c r="T52" i="4"/>
  <c r="Q52" i="4"/>
  <c r="O52" i="4"/>
  <c r="N52" i="4"/>
  <c r="U52" i="3"/>
  <c r="T52" i="3"/>
  <c r="Q52" i="3"/>
  <c r="O52" i="3"/>
  <c r="N52" i="3"/>
  <c r="O52" i="2"/>
  <c r="N52" i="2"/>
  <c r="F52" i="2"/>
  <c r="L53" i="5" l="1"/>
  <c r="O53" i="5" s="1"/>
  <c r="K53" i="3"/>
  <c r="J53" i="3"/>
  <c r="I53" i="6"/>
  <c r="S53" i="2"/>
  <c r="O53" i="2"/>
  <c r="J53" i="6"/>
  <c r="K53" i="6"/>
  <c r="N53" i="5"/>
  <c r="U53" i="5"/>
  <c r="Q53" i="2"/>
  <c r="M53" i="2"/>
  <c r="P53" i="2"/>
  <c r="R53" i="2"/>
  <c r="W52" i="6"/>
  <c r="D52" i="6"/>
  <c r="C52" i="6"/>
  <c r="B52" i="6"/>
  <c r="E52" i="5"/>
  <c r="F52" i="5" s="1"/>
  <c r="E52" i="4"/>
  <c r="E52" i="3"/>
  <c r="V52" i="3" s="1"/>
  <c r="E52" i="2"/>
  <c r="G52" i="2" s="1"/>
  <c r="P53" i="5" l="1"/>
  <c r="S53" i="5"/>
  <c r="R53" i="5"/>
  <c r="Q53" i="5"/>
  <c r="M53" i="5"/>
  <c r="T53" i="5"/>
  <c r="L53" i="3"/>
  <c r="G52" i="5"/>
  <c r="F52" i="3"/>
  <c r="E52" i="6"/>
  <c r="V52" i="5"/>
  <c r="V52" i="4"/>
  <c r="G52" i="3"/>
  <c r="V52" i="2"/>
  <c r="M53" i="3" l="1"/>
  <c r="R53" i="3"/>
  <c r="S53" i="3"/>
  <c r="P53" i="3"/>
  <c r="L53" i="6"/>
  <c r="H52" i="5"/>
  <c r="H52" i="4"/>
  <c r="H52" i="3"/>
  <c r="G52" i="6"/>
  <c r="H52" i="2"/>
  <c r="F52" i="6"/>
  <c r="V52" i="6"/>
  <c r="U51" i="4"/>
  <c r="T51" i="4"/>
  <c r="Q51" i="4"/>
  <c r="O51" i="4"/>
  <c r="N51" i="4"/>
  <c r="U51" i="3"/>
  <c r="T51" i="3"/>
  <c r="Q51" i="3"/>
  <c r="O51" i="3"/>
  <c r="N51" i="3"/>
  <c r="T51" i="2"/>
  <c r="Q51" i="2"/>
  <c r="O51" i="2"/>
  <c r="N51" i="2"/>
  <c r="R53" i="6" l="1"/>
  <c r="M53" i="6"/>
  <c r="N53" i="6"/>
  <c r="O53" i="6"/>
  <c r="P53" i="6"/>
  <c r="Q53" i="6"/>
  <c r="U53" i="6"/>
  <c r="T53" i="6"/>
  <c r="S53" i="6"/>
  <c r="I52" i="5"/>
  <c r="I52" i="4"/>
  <c r="I52" i="3"/>
  <c r="I52" i="2"/>
  <c r="H52" i="6"/>
  <c r="G51" i="5"/>
  <c r="F51" i="3"/>
  <c r="J52" i="5" l="1"/>
  <c r="K52" i="5"/>
  <c r="K52" i="4"/>
  <c r="J52" i="4"/>
  <c r="K52" i="3"/>
  <c r="J52" i="3"/>
  <c r="I52" i="6"/>
  <c r="J52" i="2"/>
  <c r="K52" i="2"/>
  <c r="W51" i="6"/>
  <c r="E51" i="6"/>
  <c r="D51" i="6"/>
  <c r="C51" i="6"/>
  <c r="B51" i="6"/>
  <c r="E51" i="5"/>
  <c r="E51" i="4"/>
  <c r="V51" i="4" s="1"/>
  <c r="E51" i="3"/>
  <c r="E51" i="2"/>
  <c r="L52" i="5" l="1"/>
  <c r="O52" i="5" s="1"/>
  <c r="L52" i="4"/>
  <c r="L52" i="3"/>
  <c r="K52" i="6"/>
  <c r="L52" i="2"/>
  <c r="J52" i="6"/>
  <c r="F51" i="5"/>
  <c r="V51" i="5"/>
  <c r="G51" i="4"/>
  <c r="F51" i="4"/>
  <c r="V51" i="3"/>
  <c r="G51" i="3"/>
  <c r="V51" i="2"/>
  <c r="F51" i="2"/>
  <c r="G51" i="2"/>
  <c r="Q50" i="2"/>
  <c r="N50" i="2"/>
  <c r="U52" i="5" l="1"/>
  <c r="Q52" i="5"/>
  <c r="T52" i="5"/>
  <c r="S52" i="5"/>
  <c r="P52" i="5"/>
  <c r="R52" i="5"/>
  <c r="N52" i="5"/>
  <c r="M52" i="5"/>
  <c r="S52" i="4"/>
  <c r="R52" i="4"/>
  <c r="P52" i="4"/>
  <c r="M52" i="4"/>
  <c r="P52" i="3"/>
  <c r="M52" i="3"/>
  <c r="R52" i="3"/>
  <c r="S52" i="3"/>
  <c r="Q52" i="2"/>
  <c r="L52" i="6"/>
  <c r="T52" i="2"/>
  <c r="R52" i="2"/>
  <c r="M52" i="2"/>
  <c r="P52" i="2"/>
  <c r="S52" i="2"/>
  <c r="H51" i="4"/>
  <c r="G51" i="6"/>
  <c r="V51" i="6"/>
  <c r="F51" i="6"/>
  <c r="H51" i="5"/>
  <c r="H51" i="3"/>
  <c r="H51" i="2"/>
  <c r="U52" i="6" l="1"/>
  <c r="M52" i="6"/>
  <c r="R52" i="6"/>
  <c r="N52" i="6"/>
  <c r="Q52" i="6"/>
  <c r="T52" i="6"/>
  <c r="S52" i="6"/>
  <c r="P52" i="6"/>
  <c r="O52" i="6"/>
  <c r="I51" i="5"/>
  <c r="J51" i="5" s="1"/>
  <c r="I51" i="4"/>
  <c r="I51" i="3"/>
  <c r="J51" i="3" s="1"/>
  <c r="I51" i="2"/>
  <c r="H51" i="6"/>
  <c r="K51" i="3"/>
  <c r="K51" i="2"/>
  <c r="O50" i="5"/>
  <c r="O50" i="4"/>
  <c r="N50" i="4"/>
  <c r="N50" i="3"/>
  <c r="T50" i="2"/>
  <c r="O50" i="2"/>
  <c r="K51" i="5" l="1"/>
  <c r="J51" i="4"/>
  <c r="K51" i="4"/>
  <c r="L51" i="3"/>
  <c r="K51" i="6"/>
  <c r="J51" i="2"/>
  <c r="I51" i="6"/>
  <c r="I50" i="5"/>
  <c r="G50" i="5"/>
  <c r="F50" i="3"/>
  <c r="L51" i="5" l="1"/>
  <c r="O51" i="5" s="1"/>
  <c r="L51" i="4"/>
  <c r="S51" i="3"/>
  <c r="M51" i="3"/>
  <c r="R51" i="3"/>
  <c r="P51" i="3"/>
  <c r="J51" i="6"/>
  <c r="L51" i="2"/>
  <c r="W50" i="6"/>
  <c r="D50" i="6"/>
  <c r="C50" i="6"/>
  <c r="B50" i="6"/>
  <c r="E50" i="5"/>
  <c r="E50" i="4"/>
  <c r="V50" i="4" s="1"/>
  <c r="E50" i="3"/>
  <c r="E50" i="2"/>
  <c r="V50" i="2" s="1"/>
  <c r="U51" i="5" l="1"/>
  <c r="Q51" i="5"/>
  <c r="M51" i="5"/>
  <c r="N51" i="5"/>
  <c r="T51" i="5"/>
  <c r="R51" i="5"/>
  <c r="P51" i="5"/>
  <c r="S51" i="5"/>
  <c r="M51" i="4"/>
  <c r="S51" i="4"/>
  <c r="R51" i="4"/>
  <c r="P51" i="4"/>
  <c r="L51" i="6"/>
  <c r="S51" i="2"/>
  <c r="R51" i="2"/>
  <c r="P51" i="2"/>
  <c r="M51" i="2"/>
  <c r="F50" i="4"/>
  <c r="E50" i="6"/>
  <c r="F50" i="5"/>
  <c r="V50" i="5"/>
  <c r="G50" i="4"/>
  <c r="V50" i="3"/>
  <c r="G50" i="3"/>
  <c r="F50" i="2"/>
  <c r="G50" i="2"/>
  <c r="U51" i="6" l="1"/>
  <c r="Q51" i="6"/>
  <c r="N51" i="6"/>
  <c r="S51" i="6"/>
  <c r="T51" i="6"/>
  <c r="R51" i="6"/>
  <c r="M51" i="6"/>
  <c r="O51" i="6"/>
  <c r="P51" i="6"/>
  <c r="V50" i="6"/>
  <c r="H50" i="4"/>
  <c r="H50" i="3"/>
  <c r="F50" i="6"/>
  <c r="G50" i="6"/>
  <c r="H50" i="5"/>
  <c r="H50" i="2"/>
  <c r="O49" i="5"/>
  <c r="N49" i="4"/>
  <c r="N49" i="3"/>
  <c r="O49" i="2"/>
  <c r="N49" i="2"/>
  <c r="F49" i="4"/>
  <c r="K50" i="5" l="1"/>
  <c r="I50" i="4"/>
  <c r="I50" i="3"/>
  <c r="I50" i="2"/>
  <c r="H50" i="6"/>
  <c r="W49" i="6"/>
  <c r="D49" i="6"/>
  <c r="C49" i="6"/>
  <c r="B49" i="6"/>
  <c r="E49" i="5"/>
  <c r="E49" i="4"/>
  <c r="V49" i="4" s="1"/>
  <c r="E49" i="3"/>
  <c r="F49" i="3" s="1"/>
  <c r="E49" i="2"/>
  <c r="E49" i="6" s="1"/>
  <c r="J50" i="5" l="1"/>
  <c r="K50" i="4"/>
  <c r="J50" i="4"/>
  <c r="J50" i="3"/>
  <c r="K50" i="3"/>
  <c r="I50" i="6"/>
  <c r="J50" i="2"/>
  <c r="K50" i="2"/>
  <c r="G49" i="5"/>
  <c r="F49" i="2"/>
  <c r="H49" i="2" s="1"/>
  <c r="F49" i="5"/>
  <c r="V49" i="5"/>
  <c r="G49" i="4"/>
  <c r="H49" i="3"/>
  <c r="V49" i="3"/>
  <c r="G49" i="3"/>
  <c r="V49" i="2"/>
  <c r="G49" i="2"/>
  <c r="L50" i="5" l="1"/>
  <c r="L50" i="4"/>
  <c r="L50" i="3"/>
  <c r="K50" i="6"/>
  <c r="J50" i="6"/>
  <c r="L50" i="2"/>
  <c r="H49" i="4"/>
  <c r="I49" i="3"/>
  <c r="I49" i="2"/>
  <c r="H49" i="6"/>
  <c r="G49" i="6"/>
  <c r="V49" i="6"/>
  <c r="F49" i="6"/>
  <c r="H49" i="5"/>
  <c r="K49" i="3"/>
  <c r="J49" i="3"/>
  <c r="K49" i="2"/>
  <c r="J49" i="2"/>
  <c r="U48" i="4"/>
  <c r="T48" i="4"/>
  <c r="Q48" i="4"/>
  <c r="O48" i="4"/>
  <c r="N48" i="4"/>
  <c r="U48" i="3"/>
  <c r="T48" i="3"/>
  <c r="Q48" i="3"/>
  <c r="O48" i="3"/>
  <c r="N48" i="3"/>
  <c r="T48" i="2"/>
  <c r="O48" i="2"/>
  <c r="N48" i="2"/>
  <c r="T50" i="5" l="1"/>
  <c r="P50" i="5"/>
  <c r="R50" i="5"/>
  <c r="N50" i="5"/>
  <c r="S50" i="5"/>
  <c r="Q50" i="5"/>
  <c r="U50" i="5"/>
  <c r="M50" i="5"/>
  <c r="M50" i="4"/>
  <c r="P50" i="4"/>
  <c r="T50" i="4"/>
  <c r="R50" i="4"/>
  <c r="S50" i="4"/>
  <c r="U50" i="4"/>
  <c r="Q50" i="4"/>
  <c r="T50" i="3"/>
  <c r="Q50" i="3"/>
  <c r="U50" i="3"/>
  <c r="S50" i="3"/>
  <c r="P50" i="3"/>
  <c r="M50" i="3"/>
  <c r="R50" i="3"/>
  <c r="O50" i="3"/>
  <c r="M50" i="2"/>
  <c r="L50" i="6"/>
  <c r="P50" i="2"/>
  <c r="S50" i="2"/>
  <c r="R50" i="2"/>
  <c r="I49" i="5"/>
  <c r="K49" i="5" s="1"/>
  <c r="I49" i="4"/>
  <c r="L49" i="2"/>
  <c r="J49" i="5"/>
  <c r="L49" i="3"/>
  <c r="R49" i="2"/>
  <c r="Q49" i="2"/>
  <c r="M49" i="2"/>
  <c r="P49" i="2"/>
  <c r="G48" i="5"/>
  <c r="F48" i="3"/>
  <c r="F48" i="2"/>
  <c r="U50" i="6" l="1"/>
  <c r="P50" i="6"/>
  <c r="N50" i="6"/>
  <c r="S50" i="6"/>
  <c r="T50" i="6"/>
  <c r="O50" i="6"/>
  <c r="R50" i="6"/>
  <c r="Q50" i="6"/>
  <c r="M50" i="6"/>
  <c r="L49" i="5"/>
  <c r="J49" i="4"/>
  <c r="K49" i="4"/>
  <c r="I49" i="6"/>
  <c r="S49" i="3"/>
  <c r="Q49" i="3"/>
  <c r="T49" i="3"/>
  <c r="O49" i="3"/>
  <c r="U49" i="3"/>
  <c r="T49" i="2"/>
  <c r="S49" i="2"/>
  <c r="S49" i="5"/>
  <c r="P49" i="5"/>
  <c r="M49" i="5"/>
  <c r="Q49" i="5"/>
  <c r="R49" i="5"/>
  <c r="R49" i="3"/>
  <c r="M49" i="3"/>
  <c r="P49" i="3"/>
  <c r="W48" i="6"/>
  <c r="D48" i="6"/>
  <c r="C48" i="6"/>
  <c r="B48" i="6"/>
  <c r="E48" i="5"/>
  <c r="E48" i="4"/>
  <c r="E48" i="3"/>
  <c r="E48" i="2"/>
  <c r="N49" i="5" l="1"/>
  <c r="U49" i="5"/>
  <c r="T49" i="5"/>
  <c r="L49" i="4"/>
  <c r="K49" i="6"/>
  <c r="J49" i="6"/>
  <c r="V48" i="3"/>
  <c r="E48" i="6"/>
  <c r="F48" i="5"/>
  <c r="V48" i="5"/>
  <c r="F48" i="4"/>
  <c r="V48" i="4"/>
  <c r="G48" i="4"/>
  <c r="G48" i="3"/>
  <c r="V48" i="2"/>
  <c r="G48" i="2"/>
  <c r="T49" i="4" l="1"/>
  <c r="Q49" i="4"/>
  <c r="O49" i="4"/>
  <c r="U49" i="4"/>
  <c r="M49" i="4"/>
  <c r="R49" i="4"/>
  <c r="S49" i="4"/>
  <c r="P49" i="4"/>
  <c r="L49" i="6"/>
  <c r="H48" i="5"/>
  <c r="H48" i="3"/>
  <c r="G48" i="6"/>
  <c r="V48" i="6"/>
  <c r="F48" i="6"/>
  <c r="H48" i="4"/>
  <c r="H48" i="2"/>
  <c r="I47" i="5"/>
  <c r="N47" i="4"/>
  <c r="U47" i="3"/>
  <c r="T47" i="3"/>
  <c r="Q47" i="3"/>
  <c r="N47" i="3"/>
  <c r="T47" i="2"/>
  <c r="O47" i="2"/>
  <c r="N47" i="2"/>
  <c r="R49" i="6" l="1"/>
  <c r="U49" i="6"/>
  <c r="N49" i="6"/>
  <c r="O49" i="6"/>
  <c r="Q49" i="6"/>
  <c r="P49" i="6"/>
  <c r="T49" i="6"/>
  <c r="M49" i="6"/>
  <c r="S49" i="6"/>
  <c r="I48" i="5"/>
  <c r="I48" i="4"/>
  <c r="J48" i="4" s="1"/>
  <c r="I48" i="3"/>
  <c r="I48" i="2"/>
  <c r="J48" i="2" s="1"/>
  <c r="H48" i="6"/>
  <c r="K48" i="4"/>
  <c r="I47" i="6"/>
  <c r="K48" i="5" l="1"/>
  <c r="J48" i="5"/>
  <c r="L48" i="4"/>
  <c r="K48" i="3"/>
  <c r="J48" i="3"/>
  <c r="J48" i="6"/>
  <c r="K48" i="2"/>
  <c r="I48" i="6"/>
  <c r="P48" i="4"/>
  <c r="S48" i="4"/>
  <c r="M48" i="4"/>
  <c r="R48" i="4"/>
  <c r="W47" i="6"/>
  <c r="D47" i="6"/>
  <c r="C47" i="6"/>
  <c r="B47" i="6"/>
  <c r="E47" i="5"/>
  <c r="E47" i="4"/>
  <c r="E47" i="3"/>
  <c r="E47" i="2"/>
  <c r="F47" i="2" s="1"/>
  <c r="L48" i="5" l="1"/>
  <c r="L48" i="3"/>
  <c r="K48" i="6"/>
  <c r="L48" i="2"/>
  <c r="E47" i="6"/>
  <c r="F47" i="5"/>
  <c r="V47" i="5"/>
  <c r="G47" i="5"/>
  <c r="F47" i="4"/>
  <c r="V47" i="4"/>
  <c r="G47" i="4"/>
  <c r="F47" i="3"/>
  <c r="V47" i="3"/>
  <c r="G47" i="3"/>
  <c r="V47" i="2"/>
  <c r="G47" i="2"/>
  <c r="U48" i="5" l="1"/>
  <c r="T48" i="5"/>
  <c r="O48" i="5"/>
  <c r="M48" i="5"/>
  <c r="R48" i="5"/>
  <c r="N48" i="5"/>
  <c r="S48" i="5"/>
  <c r="Q48" i="5"/>
  <c r="P48" i="5"/>
  <c r="R48" i="3"/>
  <c r="P48" i="3"/>
  <c r="M48" i="3"/>
  <c r="S48" i="3"/>
  <c r="L48" i="6"/>
  <c r="R48" i="2"/>
  <c r="S48" i="2"/>
  <c r="Q48" i="2"/>
  <c r="P48" i="2"/>
  <c r="M48" i="2"/>
  <c r="H47" i="4"/>
  <c r="H47" i="3"/>
  <c r="F47" i="6"/>
  <c r="G47" i="6"/>
  <c r="V47" i="6"/>
  <c r="H47" i="5"/>
  <c r="H47" i="2"/>
  <c r="U46" i="4"/>
  <c r="T46" i="4"/>
  <c r="Q46" i="4"/>
  <c r="N46" i="4"/>
  <c r="U46" i="3"/>
  <c r="T46" i="3"/>
  <c r="Q46" i="3"/>
  <c r="O46" i="3"/>
  <c r="N46" i="3"/>
  <c r="N46" i="2"/>
  <c r="F46" i="2"/>
  <c r="U48" i="6" l="1"/>
  <c r="Q48" i="6"/>
  <c r="S48" i="6"/>
  <c r="R48" i="6"/>
  <c r="T48" i="6"/>
  <c r="N48" i="6"/>
  <c r="M48" i="6"/>
  <c r="O48" i="6"/>
  <c r="P48" i="6"/>
  <c r="J47" i="5"/>
  <c r="I47" i="4"/>
  <c r="I47" i="3"/>
  <c r="I47" i="2"/>
  <c r="H47" i="6"/>
  <c r="K47" i="2"/>
  <c r="W46" i="6"/>
  <c r="D46" i="6"/>
  <c r="C46" i="6"/>
  <c r="B46" i="6"/>
  <c r="K47" i="5" l="1"/>
  <c r="K47" i="4"/>
  <c r="J47" i="4"/>
  <c r="K47" i="3"/>
  <c r="J47" i="3"/>
  <c r="K47" i="6"/>
  <c r="J47" i="2"/>
  <c r="E46" i="5"/>
  <c r="E46" i="4"/>
  <c r="E46" i="3"/>
  <c r="E46" i="2"/>
  <c r="L47" i="5" l="1"/>
  <c r="L47" i="4"/>
  <c r="L47" i="3"/>
  <c r="J47" i="6"/>
  <c r="L47" i="2"/>
  <c r="V46" i="5"/>
  <c r="G46" i="5"/>
  <c r="F46" i="4"/>
  <c r="V46" i="3"/>
  <c r="E46" i="6"/>
  <c r="F46" i="5"/>
  <c r="V46" i="4"/>
  <c r="G46" i="4"/>
  <c r="F46" i="3"/>
  <c r="G46" i="3"/>
  <c r="V46" i="2"/>
  <c r="G46" i="2"/>
  <c r="O47" i="5" l="1"/>
  <c r="Q47" i="5"/>
  <c r="U47" i="5"/>
  <c r="M47" i="5"/>
  <c r="P47" i="5"/>
  <c r="N47" i="5"/>
  <c r="T47" i="5"/>
  <c r="S47" i="5"/>
  <c r="R47" i="5"/>
  <c r="T47" i="4"/>
  <c r="Q47" i="4"/>
  <c r="U47" i="4"/>
  <c r="S47" i="4"/>
  <c r="R47" i="4"/>
  <c r="P47" i="4"/>
  <c r="M47" i="4"/>
  <c r="O47" i="4"/>
  <c r="O47" i="3"/>
  <c r="P47" i="3"/>
  <c r="M47" i="3"/>
  <c r="S47" i="3"/>
  <c r="R47" i="3"/>
  <c r="L47" i="6"/>
  <c r="R47" i="2"/>
  <c r="S47" i="2"/>
  <c r="Q47" i="2"/>
  <c r="M47" i="2"/>
  <c r="P47" i="2"/>
  <c r="H46" i="4"/>
  <c r="H46" i="3"/>
  <c r="G46" i="6"/>
  <c r="H46" i="2"/>
  <c r="F46" i="6"/>
  <c r="V46" i="6"/>
  <c r="H46" i="5"/>
  <c r="U47" i="6" l="1"/>
  <c r="M47" i="6"/>
  <c r="O47" i="6"/>
  <c r="R47" i="6"/>
  <c r="N47" i="6"/>
  <c r="Q47" i="6"/>
  <c r="T47" i="6"/>
  <c r="S47" i="6"/>
  <c r="P47" i="6"/>
  <c r="I46" i="5"/>
  <c r="J46" i="5" s="1"/>
  <c r="I46" i="4"/>
  <c r="I46" i="3"/>
  <c r="I46" i="2"/>
  <c r="H46" i="6"/>
  <c r="K46" i="5"/>
  <c r="U45" i="4"/>
  <c r="T45" i="4"/>
  <c r="Q45" i="4"/>
  <c r="O45" i="4"/>
  <c r="N45" i="4"/>
  <c r="O45" i="3"/>
  <c r="N45" i="3"/>
  <c r="T45" i="2"/>
  <c r="Q45" i="2"/>
  <c r="N45" i="2"/>
  <c r="L46" i="5" l="1"/>
  <c r="O46" i="5" s="1"/>
  <c r="K46" i="4"/>
  <c r="J46" i="4"/>
  <c r="J46" i="3"/>
  <c r="K46" i="3"/>
  <c r="I46" i="6"/>
  <c r="K46" i="2"/>
  <c r="J46" i="2"/>
  <c r="G45" i="5"/>
  <c r="F45" i="4"/>
  <c r="S46" i="5" l="1"/>
  <c r="N46" i="5"/>
  <c r="Q46" i="5"/>
  <c r="M46" i="5"/>
  <c r="R46" i="5"/>
  <c r="P46" i="5"/>
  <c r="U46" i="5"/>
  <c r="T46" i="5"/>
  <c r="L46" i="4"/>
  <c r="L46" i="3"/>
  <c r="J46" i="6"/>
  <c r="L46" i="2"/>
  <c r="K46" i="6"/>
  <c r="W45" i="6"/>
  <c r="D45" i="6"/>
  <c r="C45" i="6"/>
  <c r="B45" i="6"/>
  <c r="E45" i="5"/>
  <c r="V45" i="5" s="1"/>
  <c r="E45" i="4"/>
  <c r="E45" i="3"/>
  <c r="G45" i="3" s="1"/>
  <c r="E45" i="2"/>
  <c r="E45" i="6" s="1"/>
  <c r="S46" i="4" l="1"/>
  <c r="O46" i="4"/>
  <c r="P46" i="4"/>
  <c r="M46" i="4"/>
  <c r="R46" i="4"/>
  <c r="P46" i="3"/>
  <c r="S46" i="3"/>
  <c r="M46" i="3"/>
  <c r="R46" i="3"/>
  <c r="R46" i="2"/>
  <c r="L46" i="6"/>
  <c r="T46" i="2"/>
  <c r="Q46" i="2"/>
  <c r="S46" i="2"/>
  <c r="P46" i="2"/>
  <c r="M46" i="2"/>
  <c r="O46" i="2"/>
  <c r="F45" i="3"/>
  <c r="F45" i="2"/>
  <c r="H45" i="2" s="1"/>
  <c r="F45" i="5"/>
  <c r="V45" i="4"/>
  <c r="G45" i="4"/>
  <c r="V45" i="3"/>
  <c r="V45" i="2"/>
  <c r="G45" i="2"/>
  <c r="U46" i="6" l="1"/>
  <c r="P46" i="6"/>
  <c r="Q46" i="6"/>
  <c r="N46" i="6"/>
  <c r="T46" i="6"/>
  <c r="S46" i="6"/>
  <c r="O46" i="6"/>
  <c r="M46" i="6"/>
  <c r="R46" i="6"/>
  <c r="H45" i="4"/>
  <c r="H45" i="3"/>
  <c r="I45" i="3" s="1"/>
  <c r="I45" i="2"/>
  <c r="G45" i="6"/>
  <c r="V45" i="6"/>
  <c r="F45" i="6"/>
  <c r="H45" i="5"/>
  <c r="U44" i="4"/>
  <c r="T44" i="4"/>
  <c r="Q44" i="4"/>
  <c r="O44" i="4"/>
  <c r="N44" i="4"/>
  <c r="O44" i="3"/>
  <c r="N44" i="3"/>
  <c r="T44" i="2"/>
  <c r="Q44" i="2"/>
  <c r="O44" i="2"/>
  <c r="N44" i="2"/>
  <c r="I44" i="5"/>
  <c r="F44" i="4"/>
  <c r="F44" i="3"/>
  <c r="F44" i="2"/>
  <c r="I45" i="5" l="1"/>
  <c r="K45" i="5" s="1"/>
  <c r="H45" i="6"/>
  <c r="I45" i="4"/>
  <c r="J45" i="3"/>
  <c r="K45" i="3"/>
  <c r="J45" i="2"/>
  <c r="K45" i="2"/>
  <c r="W44" i="6"/>
  <c r="D44" i="6"/>
  <c r="C44" i="6"/>
  <c r="B44" i="6"/>
  <c r="E44" i="5"/>
  <c r="V44" i="5" s="1"/>
  <c r="E44" i="4"/>
  <c r="V44" i="4" s="1"/>
  <c r="E44" i="3"/>
  <c r="E44" i="2"/>
  <c r="E44" i="6" s="1"/>
  <c r="J45" i="5" l="1"/>
  <c r="I45" i="6"/>
  <c r="K45" i="4"/>
  <c r="J45" i="4"/>
  <c r="L45" i="3"/>
  <c r="P45" i="3" s="1"/>
  <c r="L45" i="2"/>
  <c r="K45" i="6"/>
  <c r="G44" i="5"/>
  <c r="F44" i="5"/>
  <c r="G44" i="4"/>
  <c r="V44" i="3"/>
  <c r="G44" i="3"/>
  <c r="V44" i="2"/>
  <c r="G44" i="2"/>
  <c r="J45" i="6" l="1"/>
  <c r="L45" i="5"/>
  <c r="L45" i="4"/>
  <c r="R45" i="3"/>
  <c r="Q45" i="3"/>
  <c r="M45" i="3"/>
  <c r="S45" i="3"/>
  <c r="O45" i="2"/>
  <c r="P45" i="2"/>
  <c r="R45" i="2"/>
  <c r="M45" i="2"/>
  <c r="S45" i="2"/>
  <c r="H44" i="4"/>
  <c r="H44" i="3"/>
  <c r="V44" i="6"/>
  <c r="F44" i="6"/>
  <c r="G44" i="6"/>
  <c r="H44" i="5"/>
  <c r="H44" i="2"/>
  <c r="L45" i="6" l="1"/>
  <c r="T45" i="5"/>
  <c r="O45" i="5"/>
  <c r="U45" i="5"/>
  <c r="R45" i="5"/>
  <c r="S45" i="5"/>
  <c r="S45" i="6" s="1"/>
  <c r="Q45" i="5"/>
  <c r="N45" i="5"/>
  <c r="M45" i="5"/>
  <c r="P45" i="5"/>
  <c r="P45" i="4"/>
  <c r="M45" i="4"/>
  <c r="S45" i="4"/>
  <c r="R45" i="4"/>
  <c r="I44" i="4"/>
  <c r="I44" i="3"/>
  <c r="I44" i="2"/>
  <c r="K44" i="2" s="1"/>
  <c r="H44" i="6"/>
  <c r="K44" i="5"/>
  <c r="J44" i="5"/>
  <c r="N45" i="6" l="1"/>
  <c r="O45" i="6"/>
  <c r="Q45" i="6"/>
  <c r="U45" i="6"/>
  <c r="P45" i="6"/>
  <c r="M45" i="6"/>
  <c r="T45" i="6"/>
  <c r="R45" i="6"/>
  <c r="L44" i="5"/>
  <c r="S44" i="5" s="1"/>
  <c r="K44" i="4"/>
  <c r="J44" i="4"/>
  <c r="K44" i="3"/>
  <c r="J44" i="3"/>
  <c r="J44" i="2"/>
  <c r="I44" i="6"/>
  <c r="P44" i="5" l="1"/>
  <c r="Q44" i="5"/>
  <c r="N44" i="5"/>
  <c r="R44" i="5"/>
  <c r="M44" i="5"/>
  <c r="U44" i="5"/>
  <c r="O44" i="5"/>
  <c r="T44" i="5"/>
  <c r="L44" i="4"/>
  <c r="K44" i="6"/>
  <c r="L44" i="3"/>
  <c r="J44" i="6"/>
  <c r="L44" i="2"/>
  <c r="S44" i="4" l="1"/>
  <c r="M44" i="4"/>
  <c r="R44" i="4"/>
  <c r="P44" i="4"/>
  <c r="Q44" i="3"/>
  <c r="R44" i="3"/>
  <c r="P44" i="3"/>
  <c r="S44" i="3"/>
  <c r="M44" i="3"/>
  <c r="L44" i="6"/>
  <c r="M44" i="2"/>
  <c r="R44" i="2"/>
  <c r="S44" i="2"/>
  <c r="P44" i="2"/>
  <c r="U44" i="6" l="1"/>
  <c r="O44" i="6"/>
  <c r="Q44" i="6"/>
  <c r="N44" i="6"/>
  <c r="P44" i="6"/>
  <c r="R44" i="6"/>
  <c r="M44" i="6"/>
  <c r="S44" i="6"/>
  <c r="T44" i="6"/>
  <c r="W43" i="6" l="1"/>
  <c r="K43" i="6"/>
  <c r="J43" i="6"/>
  <c r="I43" i="6"/>
  <c r="H43" i="6"/>
  <c r="G43" i="6"/>
  <c r="F43" i="6"/>
  <c r="E43" i="6"/>
  <c r="D43" i="6"/>
  <c r="C43" i="6"/>
  <c r="B43" i="6"/>
  <c r="I43" i="5"/>
  <c r="J43" i="5" s="1"/>
  <c r="G43" i="5"/>
  <c r="E43" i="5"/>
  <c r="V43" i="5" s="1"/>
  <c r="U43" i="4"/>
  <c r="T43" i="4"/>
  <c r="Q43" i="4"/>
  <c r="O43" i="4"/>
  <c r="N43" i="4"/>
  <c r="E43" i="4"/>
  <c r="O43" i="3"/>
  <c r="N43" i="3"/>
  <c r="F43" i="3"/>
  <c r="F43" i="5" l="1"/>
  <c r="F43" i="4"/>
  <c r="H43" i="4" s="1"/>
  <c r="I43" i="4" s="1"/>
  <c r="V43" i="4"/>
  <c r="G43" i="4"/>
  <c r="E43" i="3"/>
  <c r="V43" i="3" s="1"/>
  <c r="T43" i="2"/>
  <c r="Q43" i="2"/>
  <c r="O43" i="2"/>
  <c r="N43" i="2"/>
  <c r="E43" i="2"/>
  <c r="H43" i="5" l="1"/>
  <c r="K43" i="4"/>
  <c r="J43" i="4"/>
  <c r="G43" i="3"/>
  <c r="V43" i="2"/>
  <c r="F43" i="2"/>
  <c r="H43" i="2" s="1"/>
  <c r="I43" i="2" s="1"/>
  <c r="G43" i="2"/>
  <c r="V43" i="6" l="1"/>
  <c r="K43" i="5"/>
  <c r="L43" i="4"/>
  <c r="H43" i="3"/>
  <c r="I43" i="3" s="1"/>
  <c r="J43" i="3" s="1"/>
  <c r="K43" i="2"/>
  <c r="J43" i="2"/>
  <c r="L43" i="5" l="1"/>
  <c r="M43" i="5" s="1"/>
  <c r="M43" i="6" s="1"/>
  <c r="S43" i="4"/>
  <c r="R43" i="4"/>
  <c r="M43" i="4"/>
  <c r="P43" i="4"/>
  <c r="K43" i="3"/>
  <c r="L43" i="3" s="1"/>
  <c r="L43" i="2"/>
  <c r="P43" i="5" l="1"/>
  <c r="P43" i="6" s="1"/>
  <c r="R43" i="5"/>
  <c r="R43" i="6" s="1"/>
  <c r="S43" i="5"/>
  <c r="S43" i="6" s="1"/>
  <c r="L43" i="6"/>
  <c r="U43" i="5"/>
  <c r="U43" i="6" s="1"/>
  <c r="T43" i="5"/>
  <c r="T43" i="6" s="1"/>
  <c r="O43" i="5"/>
  <c r="O43" i="6" s="1"/>
  <c r="N43" i="5"/>
  <c r="N43" i="6" s="1"/>
  <c r="Q43" i="5"/>
  <c r="Q43" i="6" s="1"/>
  <c r="P43" i="3"/>
  <c r="Q43" i="3"/>
  <c r="S43" i="3"/>
  <c r="R43" i="3"/>
  <c r="M43" i="3"/>
  <c r="M43" i="2"/>
  <c r="P43" i="2"/>
  <c r="R43" i="2"/>
  <c r="S43" i="2"/>
  <c r="O42" i="5" l="1"/>
  <c r="O42" i="4"/>
  <c r="N42" i="4"/>
  <c r="N42" i="3"/>
  <c r="T42" i="2"/>
  <c r="N42" i="2"/>
  <c r="G42" i="5" l="1"/>
  <c r="W42" i="6" l="1"/>
  <c r="D42" i="6"/>
  <c r="C42" i="6"/>
  <c r="B42" i="6"/>
  <c r="E42" i="5"/>
  <c r="V42" i="5" s="1"/>
  <c r="E42" i="4"/>
  <c r="V42" i="4" s="1"/>
  <c r="E42" i="3"/>
  <c r="V42" i="3" s="1"/>
  <c r="E42" i="2"/>
  <c r="F42" i="2" s="1"/>
  <c r="F42" i="4" l="1"/>
  <c r="E42" i="6"/>
  <c r="F42" i="5"/>
  <c r="G42" i="4"/>
  <c r="F42" i="3"/>
  <c r="G42" i="3"/>
  <c r="V42" i="2"/>
  <c r="G42" i="2"/>
  <c r="H42" i="4" l="1"/>
  <c r="F42" i="6"/>
  <c r="H42" i="3"/>
  <c r="G42" i="6"/>
  <c r="H42" i="2"/>
  <c r="V42" i="6"/>
  <c r="H42" i="5"/>
  <c r="I42" i="5" l="1"/>
  <c r="J42" i="5" s="1"/>
  <c r="I42" i="4"/>
  <c r="I42" i="3"/>
  <c r="I42" i="2"/>
  <c r="H42" i="6"/>
  <c r="U41" i="5"/>
  <c r="T41" i="5"/>
  <c r="U41" i="4"/>
  <c r="T41" i="4"/>
  <c r="Q41" i="4"/>
  <c r="O41" i="4"/>
  <c r="N41" i="4"/>
  <c r="Q41" i="3"/>
  <c r="O41" i="3"/>
  <c r="N41" i="3"/>
  <c r="T41" i="2"/>
  <c r="O41" i="2"/>
  <c r="N41" i="2"/>
  <c r="K42" i="5" l="1"/>
  <c r="L42" i="5"/>
  <c r="M42" i="5" s="1"/>
  <c r="K42" i="4"/>
  <c r="J42" i="4"/>
  <c r="K42" i="3"/>
  <c r="J42" i="3"/>
  <c r="I42" i="6"/>
  <c r="K42" i="2"/>
  <c r="J42" i="2"/>
  <c r="P42" i="5"/>
  <c r="S42" i="5"/>
  <c r="R42" i="5"/>
  <c r="N42" i="5"/>
  <c r="Q42" i="5"/>
  <c r="F41" i="4"/>
  <c r="F41" i="2"/>
  <c r="T42" i="5" l="1"/>
  <c r="U42" i="5"/>
  <c r="L42" i="4"/>
  <c r="L42" i="3"/>
  <c r="K42" i="6"/>
  <c r="L42" i="2"/>
  <c r="J42" i="6"/>
  <c r="W41" i="6"/>
  <c r="D41" i="6"/>
  <c r="C41" i="6"/>
  <c r="B41" i="6"/>
  <c r="E41" i="5"/>
  <c r="V41" i="5" s="1"/>
  <c r="E41" i="4"/>
  <c r="E41" i="3"/>
  <c r="V41" i="3" s="1"/>
  <c r="E41" i="2"/>
  <c r="E41" i="6" s="1"/>
  <c r="T42" i="4" l="1"/>
  <c r="U42" i="4"/>
  <c r="Q42" i="4"/>
  <c r="S42" i="4"/>
  <c r="P42" i="4"/>
  <c r="M42" i="4"/>
  <c r="R42" i="4"/>
  <c r="S42" i="3"/>
  <c r="Q42" i="3"/>
  <c r="O42" i="3"/>
  <c r="R42" i="3"/>
  <c r="M42" i="3"/>
  <c r="P42" i="3"/>
  <c r="O42" i="2"/>
  <c r="L42" i="6"/>
  <c r="P42" i="2"/>
  <c r="Q42" i="2"/>
  <c r="M42" i="2"/>
  <c r="R42" i="2"/>
  <c r="S42" i="2"/>
  <c r="G41" i="5"/>
  <c r="F41" i="3"/>
  <c r="F41" i="5"/>
  <c r="V41" i="4"/>
  <c r="G41" i="4"/>
  <c r="G41" i="3"/>
  <c r="V41" i="2"/>
  <c r="G41" i="2"/>
  <c r="U42" i="6" l="1"/>
  <c r="M42" i="6"/>
  <c r="P42" i="6"/>
  <c r="Q42" i="6"/>
  <c r="T42" i="6"/>
  <c r="O42" i="6"/>
  <c r="N42" i="6"/>
  <c r="S42" i="6"/>
  <c r="R42" i="6"/>
  <c r="H41" i="4"/>
  <c r="G41" i="6"/>
  <c r="H41" i="2"/>
  <c r="F41" i="6"/>
  <c r="V41" i="6"/>
  <c r="H41" i="5"/>
  <c r="H41" i="3"/>
  <c r="O40" i="5"/>
  <c r="O40" i="4"/>
  <c r="N40" i="4"/>
  <c r="Q40" i="3"/>
  <c r="O40" i="3"/>
  <c r="N40" i="3"/>
  <c r="O40" i="2"/>
  <c r="N40" i="2"/>
  <c r="I40" i="5"/>
  <c r="G40" i="5"/>
  <c r="F40" i="3"/>
  <c r="I41" i="5" l="1"/>
  <c r="K41" i="5" s="1"/>
  <c r="I41" i="4"/>
  <c r="I41" i="3"/>
  <c r="J41" i="3" s="1"/>
  <c r="I41" i="2"/>
  <c r="H41" i="6"/>
  <c r="K41" i="3"/>
  <c r="W40" i="6"/>
  <c r="D40" i="6"/>
  <c r="C40" i="6"/>
  <c r="B40" i="6"/>
  <c r="E40" i="5"/>
  <c r="F40" i="5" s="1"/>
  <c r="E40" i="4"/>
  <c r="E40" i="3"/>
  <c r="E40" i="2"/>
  <c r="E40" i="6" s="1"/>
  <c r="J41" i="5" l="1"/>
  <c r="J41" i="4"/>
  <c r="K41" i="4"/>
  <c r="L41" i="3"/>
  <c r="I41" i="6"/>
  <c r="K41" i="2"/>
  <c r="J41" i="2"/>
  <c r="R41" i="3"/>
  <c r="P41" i="3"/>
  <c r="M41" i="3"/>
  <c r="S41" i="3"/>
  <c r="F40" i="4"/>
  <c r="V40" i="5"/>
  <c r="V40" i="4"/>
  <c r="G40" i="4"/>
  <c r="V40" i="3"/>
  <c r="G40" i="3"/>
  <c r="V40" i="2"/>
  <c r="F40" i="2"/>
  <c r="G40" i="2"/>
  <c r="L41" i="5" l="1"/>
  <c r="L41" i="4"/>
  <c r="J41" i="6"/>
  <c r="L41" i="2"/>
  <c r="K41" i="6"/>
  <c r="H40" i="5"/>
  <c r="H40" i="4"/>
  <c r="H40" i="3"/>
  <c r="H40" i="2"/>
  <c r="F40" i="6"/>
  <c r="G40" i="6"/>
  <c r="V40" i="6"/>
  <c r="U39" i="4"/>
  <c r="T39" i="4"/>
  <c r="Q39" i="4"/>
  <c r="N39" i="4"/>
  <c r="Q39" i="3"/>
  <c r="O39" i="3"/>
  <c r="N39" i="3"/>
  <c r="T39" i="2"/>
  <c r="Q39" i="2"/>
  <c r="O39" i="2"/>
  <c r="N39" i="2"/>
  <c r="O41" i="5" l="1"/>
  <c r="Q41" i="5"/>
  <c r="P41" i="5"/>
  <c r="M41" i="5"/>
  <c r="N41" i="5"/>
  <c r="S41" i="5"/>
  <c r="R41" i="5"/>
  <c r="M41" i="4"/>
  <c r="S41" i="4"/>
  <c r="R41" i="4"/>
  <c r="P41" i="4"/>
  <c r="L41" i="6"/>
  <c r="R41" i="2"/>
  <c r="Q41" i="2"/>
  <c r="M41" i="2"/>
  <c r="P41" i="2"/>
  <c r="S41" i="2"/>
  <c r="I40" i="4"/>
  <c r="I40" i="3"/>
  <c r="I40" i="2"/>
  <c r="H40" i="6"/>
  <c r="F39" i="4"/>
  <c r="U41" i="6" l="1"/>
  <c r="P41" i="6"/>
  <c r="Q41" i="6"/>
  <c r="N41" i="6"/>
  <c r="M41" i="6"/>
  <c r="T41" i="6"/>
  <c r="R41" i="6"/>
  <c r="O41" i="6"/>
  <c r="S41" i="6"/>
  <c r="K40" i="5"/>
  <c r="J40" i="5"/>
  <c r="J40" i="4"/>
  <c r="K40" i="4"/>
  <c r="J40" i="3"/>
  <c r="K40" i="3"/>
  <c r="I40" i="6"/>
  <c r="J40" i="2"/>
  <c r="K40" i="2"/>
  <c r="W39" i="6"/>
  <c r="D39" i="6"/>
  <c r="C39" i="6"/>
  <c r="B39" i="6"/>
  <c r="E39" i="5"/>
  <c r="E39" i="4"/>
  <c r="E39" i="3"/>
  <c r="V39" i="3" s="1"/>
  <c r="E39" i="2"/>
  <c r="E39" i="6" s="1"/>
  <c r="L40" i="5" l="1"/>
  <c r="L40" i="4"/>
  <c r="L40" i="3"/>
  <c r="K40" i="6"/>
  <c r="J40" i="6"/>
  <c r="L40" i="2"/>
  <c r="G39" i="5"/>
  <c r="F39" i="2"/>
  <c r="F39" i="5"/>
  <c r="V39" i="5"/>
  <c r="V39" i="4"/>
  <c r="G39" i="4"/>
  <c r="F39" i="3"/>
  <c r="G39" i="3"/>
  <c r="V39" i="2"/>
  <c r="G39" i="2"/>
  <c r="T40" i="5" l="1"/>
  <c r="U40" i="5"/>
  <c r="Q40" i="5"/>
  <c r="M40" i="5"/>
  <c r="P40" i="5"/>
  <c r="S40" i="5"/>
  <c r="R40" i="5"/>
  <c r="N40" i="5"/>
  <c r="U40" i="4"/>
  <c r="T40" i="4"/>
  <c r="Q40" i="4"/>
  <c r="R40" i="4"/>
  <c r="M40" i="4"/>
  <c r="P40" i="4"/>
  <c r="S40" i="4"/>
  <c r="S40" i="3"/>
  <c r="P40" i="3"/>
  <c r="R40" i="3"/>
  <c r="M40" i="3"/>
  <c r="S40" i="2"/>
  <c r="L40" i="6"/>
  <c r="T40" i="2"/>
  <c r="Q40" i="2"/>
  <c r="P40" i="2"/>
  <c r="M40" i="2"/>
  <c r="R40" i="2"/>
  <c r="G39" i="6"/>
  <c r="V39" i="6"/>
  <c r="F39" i="6"/>
  <c r="H39" i="5"/>
  <c r="H39" i="4"/>
  <c r="H39" i="3"/>
  <c r="H39" i="2"/>
  <c r="U40" i="6" l="1"/>
  <c r="P40" i="6"/>
  <c r="Q40" i="6"/>
  <c r="T40" i="6"/>
  <c r="R40" i="6"/>
  <c r="N40" i="6"/>
  <c r="O40" i="6"/>
  <c r="M40" i="6"/>
  <c r="S40" i="6"/>
  <c r="I39" i="5"/>
  <c r="J39" i="5" s="1"/>
  <c r="I39" i="4"/>
  <c r="J39" i="4" s="1"/>
  <c r="I39" i="3"/>
  <c r="K39" i="3" s="1"/>
  <c r="I39" i="2"/>
  <c r="H39" i="6"/>
  <c r="K39" i="4"/>
  <c r="J39" i="3"/>
  <c r="K39" i="2"/>
  <c r="K39" i="5" l="1"/>
  <c r="L39" i="5" s="1"/>
  <c r="L39" i="4"/>
  <c r="L39" i="3"/>
  <c r="J39" i="2"/>
  <c r="I39" i="6"/>
  <c r="M39" i="4"/>
  <c r="P39" i="4"/>
  <c r="R39" i="4"/>
  <c r="S39" i="4"/>
  <c r="S39" i="3"/>
  <c r="P39" i="3"/>
  <c r="M39" i="3"/>
  <c r="U39" i="5" l="1"/>
  <c r="O39" i="5"/>
  <c r="T39" i="5"/>
  <c r="S39" i="5"/>
  <c r="P39" i="5"/>
  <c r="Q39" i="5"/>
  <c r="N39" i="5"/>
  <c r="M39" i="5"/>
  <c r="K39" i="6"/>
  <c r="R39" i="5"/>
  <c r="O39" i="4"/>
  <c r="R39" i="3"/>
  <c r="J39" i="6"/>
  <c r="L39" i="2"/>
  <c r="U38" i="4"/>
  <c r="T38" i="4"/>
  <c r="Q38" i="4"/>
  <c r="O38" i="4"/>
  <c r="N38" i="4"/>
  <c r="Q38" i="3"/>
  <c r="O38" i="3"/>
  <c r="N38" i="3"/>
  <c r="T38" i="2"/>
  <c r="O38" i="2"/>
  <c r="N38" i="2"/>
  <c r="W38" i="6"/>
  <c r="V38" i="6"/>
  <c r="G38" i="6"/>
  <c r="E38" i="6"/>
  <c r="D38" i="6"/>
  <c r="C38" i="6"/>
  <c r="B38" i="6"/>
  <c r="G38" i="5"/>
  <c r="F38" i="2"/>
  <c r="U39" i="6" l="1"/>
  <c r="L39" i="6"/>
  <c r="M39" i="2"/>
  <c r="R39" i="2"/>
  <c r="S39" i="2"/>
  <c r="P39" i="2"/>
  <c r="E38" i="5"/>
  <c r="E38" i="4"/>
  <c r="F38" i="4" s="1"/>
  <c r="E38" i="3"/>
  <c r="F38" i="3" s="1"/>
  <c r="E38" i="2"/>
  <c r="V38" i="2" s="1"/>
  <c r="R39" i="6" l="1"/>
  <c r="M39" i="6"/>
  <c r="Q39" i="6"/>
  <c r="O39" i="6"/>
  <c r="P39" i="6"/>
  <c r="T39" i="6"/>
  <c r="S39" i="6"/>
  <c r="N39" i="6"/>
  <c r="F38" i="5"/>
  <c r="F38" i="6" s="1"/>
  <c r="V38" i="5"/>
  <c r="V38" i="4"/>
  <c r="G38" i="4"/>
  <c r="G38" i="3"/>
  <c r="V38" i="3"/>
  <c r="G38" i="2"/>
  <c r="H38" i="5" l="1"/>
  <c r="H38" i="6" s="1"/>
  <c r="H38" i="3"/>
  <c r="H38" i="4"/>
  <c r="H38" i="2"/>
  <c r="I38" i="5" l="1"/>
  <c r="I38" i="6" s="1"/>
  <c r="I38" i="4"/>
  <c r="K38" i="4" s="1"/>
  <c r="I38" i="3"/>
  <c r="I38" i="2"/>
  <c r="J38" i="2" s="1"/>
  <c r="J38" i="4"/>
  <c r="K38" i="2"/>
  <c r="K38" i="5" l="1"/>
  <c r="K38" i="6" s="1"/>
  <c r="J38" i="5"/>
  <c r="J38" i="6" s="1"/>
  <c r="L38" i="4"/>
  <c r="J38" i="3"/>
  <c r="K38" i="3"/>
  <c r="L38" i="2"/>
  <c r="S38" i="4"/>
  <c r="R38" i="4"/>
  <c r="P38" i="4"/>
  <c r="M38" i="4"/>
  <c r="S38" i="2"/>
  <c r="R38" i="2"/>
  <c r="P38" i="2"/>
  <c r="Q38" i="2"/>
  <c r="L38" i="5" l="1"/>
  <c r="L38" i="3"/>
  <c r="M38" i="2"/>
  <c r="L38" i="6" l="1"/>
  <c r="O38" i="5"/>
  <c r="O38" i="6" s="1"/>
  <c r="U38" i="5"/>
  <c r="U38" i="6" s="1"/>
  <c r="T38" i="5"/>
  <c r="T38" i="6" s="1"/>
  <c r="R38" i="5"/>
  <c r="R38" i="6" s="1"/>
  <c r="Q38" i="5"/>
  <c r="Q38" i="6" s="1"/>
  <c r="P38" i="5"/>
  <c r="P38" i="6" s="1"/>
  <c r="N38" i="5"/>
  <c r="N38" i="6" s="1"/>
  <c r="M38" i="5"/>
  <c r="M38" i="6" s="1"/>
  <c r="S38" i="5"/>
  <c r="S38" i="6" s="1"/>
  <c r="R38" i="3"/>
  <c r="S38" i="3"/>
  <c r="M38" i="3"/>
  <c r="P38" i="3"/>
  <c r="N37" i="4" l="1"/>
  <c r="O37" i="3"/>
  <c r="N37" i="3"/>
  <c r="T37" i="2"/>
  <c r="O37" i="2"/>
  <c r="N37" i="2"/>
  <c r="F37" i="4" l="1"/>
  <c r="W37" i="6" l="1"/>
  <c r="D37" i="6"/>
  <c r="C37" i="6"/>
  <c r="B37" i="6"/>
  <c r="E37" i="5"/>
  <c r="E37" i="4"/>
  <c r="V37" i="4" s="1"/>
  <c r="E37" i="3"/>
  <c r="V37" i="3" s="1"/>
  <c r="E37" i="2"/>
  <c r="E37" i="6" s="1"/>
  <c r="G37" i="5" l="1"/>
  <c r="F37" i="3"/>
  <c r="F37" i="2"/>
  <c r="F37" i="5"/>
  <c r="V37" i="5"/>
  <c r="G37" i="4"/>
  <c r="G37" i="3"/>
  <c r="G37" i="2"/>
  <c r="V37" i="2"/>
  <c r="H37" i="5" l="1"/>
  <c r="I37" i="5" s="1"/>
  <c r="H37" i="3"/>
  <c r="V37" i="6"/>
  <c r="F37" i="6"/>
  <c r="H37" i="2"/>
  <c r="G37" i="6"/>
  <c r="H37" i="4"/>
  <c r="I37" i="4" l="1"/>
  <c r="K37" i="4" s="1"/>
  <c r="I37" i="3"/>
  <c r="I37" i="2"/>
  <c r="H37" i="6"/>
  <c r="J37" i="4"/>
  <c r="U36" i="4"/>
  <c r="T36" i="4"/>
  <c r="Q36" i="4"/>
  <c r="O36" i="4"/>
  <c r="N36" i="4"/>
  <c r="Q36" i="3"/>
  <c r="N36" i="3"/>
  <c r="T36" i="2"/>
  <c r="Q36" i="2"/>
  <c r="O36" i="2"/>
  <c r="N36" i="2"/>
  <c r="J37" i="5" l="1"/>
  <c r="K37" i="5"/>
  <c r="L37" i="4"/>
  <c r="K37" i="3"/>
  <c r="J37" i="3"/>
  <c r="I37" i="6"/>
  <c r="J37" i="2"/>
  <c r="K37" i="2"/>
  <c r="S37" i="4"/>
  <c r="M37" i="4"/>
  <c r="R37" i="4"/>
  <c r="P37" i="4"/>
  <c r="G36" i="5"/>
  <c r="F36" i="3"/>
  <c r="F36" i="2"/>
  <c r="L37" i="5" l="1"/>
  <c r="Q37" i="4"/>
  <c r="O37" i="4"/>
  <c r="T37" i="4"/>
  <c r="U37" i="4"/>
  <c r="L37" i="3"/>
  <c r="K37" i="6"/>
  <c r="L37" i="2"/>
  <c r="J37" i="6"/>
  <c r="W36" i="6"/>
  <c r="D36" i="6"/>
  <c r="C36" i="6"/>
  <c r="B36" i="6"/>
  <c r="E36" i="5"/>
  <c r="E36" i="4"/>
  <c r="V36" i="4" s="1"/>
  <c r="E36" i="3"/>
  <c r="V36" i="3" s="1"/>
  <c r="E36" i="2"/>
  <c r="V36" i="2" s="1"/>
  <c r="U37" i="5" l="1"/>
  <c r="O37" i="5"/>
  <c r="T37" i="5"/>
  <c r="R37" i="5"/>
  <c r="S37" i="5"/>
  <c r="P37" i="5"/>
  <c r="Q37" i="5"/>
  <c r="N37" i="5"/>
  <c r="M37" i="5"/>
  <c r="Q37" i="3"/>
  <c r="P37" i="3"/>
  <c r="M37" i="3"/>
  <c r="S37" i="3"/>
  <c r="R37" i="3"/>
  <c r="L37" i="6"/>
  <c r="Q37" i="2"/>
  <c r="M37" i="2"/>
  <c r="S37" i="2"/>
  <c r="R37" i="2"/>
  <c r="P37" i="2"/>
  <c r="H36" i="2"/>
  <c r="E36" i="6"/>
  <c r="F36" i="5"/>
  <c r="V36" i="5"/>
  <c r="G36" i="4"/>
  <c r="F36" i="4"/>
  <c r="G36" i="3"/>
  <c r="G36" i="2"/>
  <c r="U37" i="6" l="1"/>
  <c r="O37" i="6"/>
  <c r="Q37" i="6"/>
  <c r="M37" i="6"/>
  <c r="T37" i="6"/>
  <c r="S37" i="6"/>
  <c r="P37" i="6"/>
  <c r="N37" i="6"/>
  <c r="R37" i="6"/>
  <c r="V36" i="6"/>
  <c r="H36" i="4"/>
  <c r="I36" i="2"/>
  <c r="G36" i="6"/>
  <c r="F36" i="6"/>
  <c r="H36" i="5"/>
  <c r="H36" i="3"/>
  <c r="J36" i="2"/>
  <c r="I36" i="5" l="1"/>
  <c r="K36" i="5" s="1"/>
  <c r="I36" i="4"/>
  <c r="I36" i="3"/>
  <c r="K36" i="3" s="1"/>
  <c r="H36" i="6"/>
  <c r="K36" i="2"/>
  <c r="J36" i="5" l="1"/>
  <c r="K36" i="4"/>
  <c r="J36" i="4"/>
  <c r="I36" i="6"/>
  <c r="J36" i="3"/>
  <c r="K36" i="6"/>
  <c r="L36" i="2"/>
  <c r="U35" i="4"/>
  <c r="T35" i="4"/>
  <c r="Q35" i="4"/>
  <c r="O35" i="4"/>
  <c r="N35" i="4"/>
  <c r="Q35" i="3"/>
  <c r="N35" i="3"/>
  <c r="T35" i="2"/>
  <c r="Q35" i="2"/>
  <c r="O35" i="2"/>
  <c r="N35" i="2"/>
  <c r="F35" i="2"/>
  <c r="L36" i="5" l="1"/>
  <c r="L36" i="6" s="1"/>
  <c r="L36" i="4"/>
  <c r="L36" i="3"/>
  <c r="J36" i="6"/>
  <c r="M36" i="2"/>
  <c r="P36" i="2"/>
  <c r="R36" i="2"/>
  <c r="S36" i="2"/>
  <c r="W35" i="6"/>
  <c r="D35" i="6"/>
  <c r="C35" i="6"/>
  <c r="B35" i="6"/>
  <c r="E35" i="5"/>
  <c r="V35" i="5" s="1"/>
  <c r="E35" i="4"/>
  <c r="V35" i="4" s="1"/>
  <c r="E35" i="3"/>
  <c r="F35" i="3" s="1"/>
  <c r="E35" i="2"/>
  <c r="Q36" i="5" l="1"/>
  <c r="Q36" i="6" s="1"/>
  <c r="T36" i="5"/>
  <c r="T36" i="6" s="1"/>
  <c r="U36" i="5"/>
  <c r="O36" i="5"/>
  <c r="M36" i="5"/>
  <c r="R36" i="5"/>
  <c r="S36" i="5"/>
  <c r="N36" i="5"/>
  <c r="N36" i="6" s="1"/>
  <c r="P36" i="5"/>
  <c r="P36" i="4"/>
  <c r="M36" i="4"/>
  <c r="R36" i="4"/>
  <c r="S36" i="4"/>
  <c r="O36" i="3"/>
  <c r="M36" i="3"/>
  <c r="P36" i="3"/>
  <c r="S36" i="3"/>
  <c r="R36" i="3"/>
  <c r="G35" i="5"/>
  <c r="F35" i="4"/>
  <c r="E35" i="6"/>
  <c r="F35" i="5"/>
  <c r="G35" i="4"/>
  <c r="G35" i="3"/>
  <c r="V35" i="3"/>
  <c r="V35" i="2"/>
  <c r="G35" i="2"/>
  <c r="U36" i="6" l="1"/>
  <c r="M36" i="6"/>
  <c r="O36" i="6"/>
  <c r="R36" i="6"/>
  <c r="P36" i="6"/>
  <c r="S36" i="6"/>
  <c r="F35" i="6"/>
  <c r="H35" i="4"/>
  <c r="H35" i="3"/>
  <c r="G35" i="6"/>
  <c r="V35" i="6"/>
  <c r="H35" i="5"/>
  <c r="I35" i="5" s="1"/>
  <c r="H35" i="2"/>
  <c r="O34" i="4"/>
  <c r="Q34" i="3"/>
  <c r="O34" i="3"/>
  <c r="N34" i="3"/>
  <c r="T34" i="2"/>
  <c r="Q34" i="2"/>
  <c r="O34" i="2"/>
  <c r="N34" i="2"/>
  <c r="G34" i="5"/>
  <c r="F34" i="5"/>
  <c r="F34" i="4"/>
  <c r="F34" i="2"/>
  <c r="W34" i="6"/>
  <c r="D34" i="6"/>
  <c r="C34" i="6"/>
  <c r="B34" i="6"/>
  <c r="E34" i="5"/>
  <c r="E34" i="4"/>
  <c r="E34" i="3"/>
  <c r="E34" i="2"/>
  <c r="V34" i="2" s="1"/>
  <c r="K35" i="5" l="1"/>
  <c r="J35" i="5"/>
  <c r="I35" i="4"/>
  <c r="I35" i="3"/>
  <c r="I35" i="2"/>
  <c r="H35" i="6"/>
  <c r="J35" i="2"/>
  <c r="H34" i="5"/>
  <c r="K34" i="5" s="1"/>
  <c r="H34" i="2"/>
  <c r="E34" i="6"/>
  <c r="V34" i="5"/>
  <c r="V34" i="4"/>
  <c r="G34" i="4"/>
  <c r="V34" i="3"/>
  <c r="F34" i="3"/>
  <c r="G34" i="3"/>
  <c r="G34" i="2"/>
  <c r="L35" i="5" l="1"/>
  <c r="S35" i="5" s="1"/>
  <c r="J35" i="4"/>
  <c r="K35" i="4"/>
  <c r="K35" i="3"/>
  <c r="J35" i="3"/>
  <c r="J35" i="6"/>
  <c r="K35" i="2"/>
  <c r="I35" i="6"/>
  <c r="V34" i="6"/>
  <c r="J34" i="5"/>
  <c r="H34" i="4"/>
  <c r="H34" i="3"/>
  <c r="H34" i="6" s="1"/>
  <c r="I34" i="2"/>
  <c r="G34" i="6"/>
  <c r="F34" i="6"/>
  <c r="O35" i="5" l="1"/>
  <c r="T35" i="5"/>
  <c r="U35" i="5"/>
  <c r="N35" i="5"/>
  <c r="M35" i="5"/>
  <c r="P35" i="5"/>
  <c r="Q35" i="5"/>
  <c r="R35" i="5"/>
  <c r="L35" i="4"/>
  <c r="L35" i="3"/>
  <c r="K35" i="6"/>
  <c r="L35" i="2"/>
  <c r="L34" i="5"/>
  <c r="I34" i="4"/>
  <c r="I34" i="6" s="1"/>
  <c r="I34" i="3"/>
  <c r="J34" i="2"/>
  <c r="K34" i="2"/>
  <c r="P35" i="4" l="1"/>
  <c r="R35" i="4"/>
  <c r="M35" i="4"/>
  <c r="S35" i="4"/>
  <c r="O35" i="3"/>
  <c r="S35" i="3"/>
  <c r="M35" i="3"/>
  <c r="R35" i="3"/>
  <c r="P35" i="3"/>
  <c r="L35" i="6"/>
  <c r="P35" i="2"/>
  <c r="S35" i="2"/>
  <c r="M35" i="2"/>
  <c r="R35" i="2"/>
  <c r="T34" i="5"/>
  <c r="S34" i="5"/>
  <c r="R34" i="5"/>
  <c r="U34" i="5"/>
  <c r="K34" i="4"/>
  <c r="J34" i="4"/>
  <c r="J34" i="6" s="1"/>
  <c r="K34" i="3"/>
  <c r="J34" i="3"/>
  <c r="L34" i="2"/>
  <c r="O33" i="3"/>
  <c r="N33" i="3"/>
  <c r="T33" i="2"/>
  <c r="Q33" i="2"/>
  <c r="O33" i="2"/>
  <c r="N33" i="2"/>
  <c r="U35" i="6" l="1"/>
  <c r="S35" i="6"/>
  <c r="P35" i="6"/>
  <c r="O35" i="6"/>
  <c r="Q35" i="6"/>
  <c r="T35" i="6"/>
  <c r="R35" i="6"/>
  <c r="M35" i="6"/>
  <c r="N35" i="6"/>
  <c r="L34" i="4"/>
  <c r="K34" i="6"/>
  <c r="L34" i="3"/>
  <c r="L34" i="6"/>
  <c r="R34" i="2"/>
  <c r="M34" i="2"/>
  <c r="P34" i="2"/>
  <c r="S34" i="2"/>
  <c r="F33" i="4"/>
  <c r="F33" i="2"/>
  <c r="U34" i="4" l="1"/>
  <c r="Q34" i="4"/>
  <c r="N34" i="4"/>
  <c r="R34" i="4"/>
  <c r="S34" i="4"/>
  <c r="T34" i="4"/>
  <c r="M34" i="4"/>
  <c r="P34" i="4"/>
  <c r="R34" i="3"/>
  <c r="P34" i="3"/>
  <c r="S34" i="3"/>
  <c r="M34" i="3"/>
  <c r="O34" i="6"/>
  <c r="S34" i="6"/>
  <c r="T34" i="6"/>
  <c r="W33" i="6"/>
  <c r="D33" i="6"/>
  <c r="C33" i="6"/>
  <c r="B33" i="6"/>
  <c r="E33" i="5"/>
  <c r="E33" i="4"/>
  <c r="E33" i="3"/>
  <c r="E33" i="2"/>
  <c r="M34" i="6" l="1"/>
  <c r="N34" i="6"/>
  <c r="U34" i="6"/>
  <c r="Q34" i="6"/>
  <c r="P34" i="6"/>
  <c r="R34" i="6"/>
  <c r="F33" i="3"/>
  <c r="E33" i="6"/>
  <c r="V33" i="5"/>
  <c r="H33" i="4"/>
  <c r="V33" i="4"/>
  <c r="G33" i="4"/>
  <c r="V33" i="3"/>
  <c r="G33" i="3"/>
  <c r="V33" i="2"/>
  <c r="G33" i="2"/>
  <c r="H33" i="5" l="1"/>
  <c r="I33" i="4"/>
  <c r="K33" i="4" s="1"/>
  <c r="H33" i="3"/>
  <c r="H33" i="2"/>
  <c r="F33" i="6"/>
  <c r="V33" i="6"/>
  <c r="G33" i="6"/>
  <c r="O32" i="5"/>
  <c r="U32" i="4"/>
  <c r="T32" i="4"/>
  <c r="Q32" i="4"/>
  <c r="O32" i="4"/>
  <c r="N32" i="4"/>
  <c r="I33" i="5" l="1"/>
  <c r="J33" i="4"/>
  <c r="L33" i="4" s="1"/>
  <c r="I33" i="3"/>
  <c r="I33" i="2"/>
  <c r="H33" i="6"/>
  <c r="F32" i="4"/>
  <c r="T32" i="3"/>
  <c r="N32" i="3"/>
  <c r="F32" i="3"/>
  <c r="O32" i="2"/>
  <c r="K33" i="5" l="1"/>
  <c r="J33" i="5"/>
  <c r="R33" i="4"/>
  <c r="P33" i="4"/>
  <c r="S33" i="4"/>
  <c r="M33" i="4"/>
  <c r="N33" i="4"/>
  <c r="O33" i="4"/>
  <c r="T33" i="4"/>
  <c r="U33" i="4"/>
  <c r="Q33" i="4"/>
  <c r="K33" i="3"/>
  <c r="J33" i="3"/>
  <c r="I33" i="6"/>
  <c r="K33" i="2"/>
  <c r="J33" i="2"/>
  <c r="W32" i="6"/>
  <c r="D32" i="6"/>
  <c r="C32" i="6"/>
  <c r="B32" i="6"/>
  <c r="E32" i="5"/>
  <c r="E32" i="4"/>
  <c r="E32" i="3"/>
  <c r="G32" i="3" s="1"/>
  <c r="E32" i="2"/>
  <c r="V32" i="2" s="1"/>
  <c r="L33" i="5" l="1"/>
  <c r="L33" i="3"/>
  <c r="L33" i="2"/>
  <c r="J33" i="6"/>
  <c r="K33" i="6"/>
  <c r="F32" i="2"/>
  <c r="E32" i="6"/>
  <c r="F32" i="5"/>
  <c r="G32" i="5"/>
  <c r="V32" i="5"/>
  <c r="V32" i="4"/>
  <c r="G32" i="4"/>
  <c r="V32" i="3"/>
  <c r="G32" i="2"/>
  <c r="O33" i="5" l="1"/>
  <c r="N33" i="5"/>
  <c r="U33" i="5"/>
  <c r="P33" i="5"/>
  <c r="M33" i="5"/>
  <c r="R33" i="5"/>
  <c r="Q33" i="5"/>
  <c r="T33" i="5"/>
  <c r="S33" i="5"/>
  <c r="M33" i="3"/>
  <c r="P33" i="3"/>
  <c r="Q33" i="3"/>
  <c r="S33" i="3"/>
  <c r="R33" i="3"/>
  <c r="L33" i="6"/>
  <c r="R33" i="2"/>
  <c r="S33" i="2"/>
  <c r="M33" i="2"/>
  <c r="P33" i="2"/>
  <c r="H32" i="5"/>
  <c r="H32" i="4"/>
  <c r="H32" i="3"/>
  <c r="V32" i="6"/>
  <c r="H32" i="2"/>
  <c r="I32" i="2"/>
  <c r="H32" i="6"/>
  <c r="G32" i="6"/>
  <c r="F32" i="6"/>
  <c r="K32" i="2"/>
  <c r="J32" i="2"/>
  <c r="U33" i="6" l="1"/>
  <c r="R33" i="6"/>
  <c r="Q33" i="6"/>
  <c r="M33" i="6"/>
  <c r="O33" i="6"/>
  <c r="T33" i="6"/>
  <c r="N33" i="6"/>
  <c r="S33" i="6"/>
  <c r="P33" i="6"/>
  <c r="I32" i="5"/>
  <c r="I32" i="4"/>
  <c r="I32" i="3"/>
  <c r="L32" i="2"/>
  <c r="O31" i="5"/>
  <c r="N31" i="5"/>
  <c r="Q31" i="4"/>
  <c r="O31" i="4"/>
  <c r="N31" i="4"/>
  <c r="T31" i="3"/>
  <c r="Q31" i="3"/>
  <c r="O31" i="3"/>
  <c r="N31" i="3"/>
  <c r="T31" i="2"/>
  <c r="Q31" i="2"/>
  <c r="O31" i="2"/>
  <c r="N31" i="2"/>
  <c r="J32" i="5" l="1"/>
  <c r="K32" i="5"/>
  <c r="K32" i="4"/>
  <c r="J32" i="4"/>
  <c r="J32" i="3"/>
  <c r="K32" i="3"/>
  <c r="I32" i="6"/>
  <c r="T32" i="2"/>
  <c r="Q32" i="2"/>
  <c r="N32" i="2"/>
  <c r="S32" i="2"/>
  <c r="R32" i="2"/>
  <c r="P32" i="2"/>
  <c r="M32" i="2"/>
  <c r="F31" i="2"/>
  <c r="L32" i="5" l="1"/>
  <c r="L32" i="4"/>
  <c r="K32" i="6"/>
  <c r="L32" i="3"/>
  <c r="J32" i="6"/>
  <c r="W31" i="6"/>
  <c r="D31" i="6"/>
  <c r="C31" i="6"/>
  <c r="B31" i="6"/>
  <c r="E31" i="5"/>
  <c r="F31" i="5" s="1"/>
  <c r="E31" i="4"/>
  <c r="E31" i="3"/>
  <c r="V31" i="3" s="1"/>
  <c r="E31" i="2"/>
  <c r="V31" i="2" s="1"/>
  <c r="U32" i="5" l="1"/>
  <c r="N32" i="5"/>
  <c r="Q32" i="5"/>
  <c r="T32" i="5"/>
  <c r="P32" i="5"/>
  <c r="S32" i="5"/>
  <c r="R32" i="5"/>
  <c r="M32" i="5"/>
  <c r="R32" i="4"/>
  <c r="S32" i="4"/>
  <c r="P32" i="4"/>
  <c r="M32" i="4"/>
  <c r="O32" i="3"/>
  <c r="Q32" i="3"/>
  <c r="S32" i="3"/>
  <c r="R32" i="3"/>
  <c r="P32" i="3"/>
  <c r="M32" i="3"/>
  <c r="U32" i="3"/>
  <c r="L32" i="6"/>
  <c r="F31" i="4"/>
  <c r="E31" i="6"/>
  <c r="G31" i="5"/>
  <c r="V31" i="5"/>
  <c r="V31" i="4"/>
  <c r="G31" i="4"/>
  <c r="G31" i="3"/>
  <c r="F31" i="3"/>
  <c r="G31" i="2"/>
  <c r="P32" i="6" l="1"/>
  <c r="N32" i="6"/>
  <c r="R32" i="6"/>
  <c r="Q32" i="6"/>
  <c r="S32" i="6"/>
  <c r="U32" i="6"/>
  <c r="T32" i="6"/>
  <c r="M32" i="6"/>
  <c r="O32" i="6"/>
  <c r="V31" i="6"/>
  <c r="H31" i="5"/>
  <c r="H31" i="4"/>
  <c r="H31" i="3"/>
  <c r="G31" i="6"/>
  <c r="H31" i="2"/>
  <c r="F31" i="6"/>
  <c r="I31" i="5" l="1"/>
  <c r="I31" i="4"/>
  <c r="I31" i="3"/>
  <c r="I31" i="2"/>
  <c r="H31" i="6"/>
  <c r="O30" i="5"/>
  <c r="T30" i="3"/>
  <c r="O30" i="3"/>
  <c r="N30" i="3"/>
  <c r="T30" i="2"/>
  <c r="Q30" i="2"/>
  <c r="N30" i="2"/>
  <c r="J31" i="5" l="1"/>
  <c r="K31" i="5"/>
  <c r="K31" i="4"/>
  <c r="J31" i="4"/>
  <c r="K31" i="3"/>
  <c r="J31" i="3"/>
  <c r="I31" i="6"/>
  <c r="J31" i="2"/>
  <c r="K31" i="2"/>
  <c r="F30" i="4"/>
  <c r="L31" i="5" l="1"/>
  <c r="L31" i="4"/>
  <c r="L31" i="3"/>
  <c r="K31" i="6"/>
  <c r="L31" i="2"/>
  <c r="J31" i="6"/>
  <c r="W30" i="6"/>
  <c r="D30" i="6"/>
  <c r="C30" i="6"/>
  <c r="B30" i="6"/>
  <c r="E30" i="5"/>
  <c r="F30" i="5" s="1"/>
  <c r="E30" i="4"/>
  <c r="V30" i="4" s="1"/>
  <c r="E30" i="3"/>
  <c r="F30" i="3" s="1"/>
  <c r="E30" i="2"/>
  <c r="F30" i="2" s="1"/>
  <c r="U31" i="5" l="1"/>
  <c r="Q31" i="5"/>
  <c r="P31" i="5"/>
  <c r="S31" i="5"/>
  <c r="R31" i="5"/>
  <c r="M31" i="5"/>
  <c r="T31" i="5"/>
  <c r="R31" i="4"/>
  <c r="S31" i="4"/>
  <c r="P31" i="4"/>
  <c r="M31" i="4"/>
  <c r="R31" i="3"/>
  <c r="S31" i="3"/>
  <c r="M31" i="3"/>
  <c r="P31" i="3"/>
  <c r="U31" i="3"/>
  <c r="L31" i="6"/>
  <c r="R31" i="2"/>
  <c r="S31" i="2"/>
  <c r="P31" i="2"/>
  <c r="M31" i="2"/>
  <c r="G30" i="5"/>
  <c r="V30" i="5"/>
  <c r="E30" i="6"/>
  <c r="H30" i="5"/>
  <c r="G30" i="4"/>
  <c r="V30" i="3"/>
  <c r="G30" i="3"/>
  <c r="V30" i="2"/>
  <c r="G30" i="2"/>
  <c r="U31" i="6" l="1"/>
  <c r="O31" i="6"/>
  <c r="T31" i="6"/>
  <c r="S31" i="6"/>
  <c r="Q31" i="6"/>
  <c r="R31" i="6"/>
  <c r="M31" i="6"/>
  <c r="N31" i="6"/>
  <c r="P31" i="6"/>
  <c r="I30" i="5"/>
  <c r="J30" i="5" s="1"/>
  <c r="F30" i="6"/>
  <c r="H30" i="3"/>
  <c r="G30" i="6"/>
  <c r="H30" i="2"/>
  <c r="V30" i="6"/>
  <c r="K30" i="5"/>
  <c r="H30" i="4"/>
  <c r="U29" i="5"/>
  <c r="T29" i="5"/>
  <c r="Q29" i="5"/>
  <c r="N29" i="5"/>
  <c r="T29" i="3"/>
  <c r="Q29" i="3"/>
  <c r="O29" i="3"/>
  <c r="N29" i="3"/>
  <c r="T29" i="2"/>
  <c r="Q29" i="2"/>
  <c r="O29" i="2"/>
  <c r="N29" i="2"/>
  <c r="L30" i="5" l="1"/>
  <c r="R30" i="5" s="1"/>
  <c r="I30" i="4"/>
  <c r="K30" i="4" s="1"/>
  <c r="I30" i="3"/>
  <c r="I30" i="2"/>
  <c r="H30" i="6"/>
  <c r="S30" i="5"/>
  <c r="M30" i="5"/>
  <c r="J30" i="4"/>
  <c r="F29" i="3"/>
  <c r="F29" i="2"/>
  <c r="P30" i="5" l="1"/>
  <c r="N30" i="5"/>
  <c r="T30" i="5"/>
  <c r="U30" i="5"/>
  <c r="Q30" i="5"/>
  <c r="L30" i="4"/>
  <c r="M30" i="4" s="1"/>
  <c r="K30" i="3"/>
  <c r="J30" i="3"/>
  <c r="I30" i="6"/>
  <c r="J30" i="2"/>
  <c r="K30" i="2"/>
  <c r="R30" i="4"/>
  <c r="S30" i="4"/>
  <c r="W29" i="6"/>
  <c r="D29" i="6"/>
  <c r="C29" i="6"/>
  <c r="B29" i="6"/>
  <c r="E29" i="5"/>
  <c r="V29" i="5" s="1"/>
  <c r="E29" i="4"/>
  <c r="E29" i="3"/>
  <c r="V29" i="3" s="1"/>
  <c r="E29" i="2"/>
  <c r="V29" i="2" s="1"/>
  <c r="P30" i="4" l="1"/>
  <c r="U30" i="4"/>
  <c r="Q30" i="4"/>
  <c r="O30" i="4"/>
  <c r="N30" i="4"/>
  <c r="T30" i="4"/>
  <c r="L30" i="3"/>
  <c r="K30" i="6"/>
  <c r="L30" i="2"/>
  <c r="J30" i="6"/>
  <c r="F29" i="4"/>
  <c r="F29" i="5"/>
  <c r="V29" i="6"/>
  <c r="H29" i="2"/>
  <c r="E29" i="6"/>
  <c r="G29" i="5"/>
  <c r="V29" i="4"/>
  <c r="G29" i="4"/>
  <c r="G29" i="3"/>
  <c r="G29" i="2"/>
  <c r="S30" i="3" l="1"/>
  <c r="Q30" i="3"/>
  <c r="U30" i="3"/>
  <c r="M30" i="3"/>
  <c r="P30" i="3"/>
  <c r="R30" i="3"/>
  <c r="O30" i="2"/>
  <c r="L30" i="6"/>
  <c r="S30" i="2"/>
  <c r="P30" i="2"/>
  <c r="M30" i="2"/>
  <c r="R30" i="2"/>
  <c r="H29" i="5"/>
  <c r="H29" i="4"/>
  <c r="H29" i="3"/>
  <c r="I29" i="2"/>
  <c r="H29" i="6"/>
  <c r="G29" i="6"/>
  <c r="F29" i="6"/>
  <c r="J29" i="2"/>
  <c r="O28" i="5"/>
  <c r="N28" i="5"/>
  <c r="T28" i="3"/>
  <c r="Q28" i="3"/>
  <c r="N28" i="3"/>
  <c r="T28" i="2"/>
  <c r="O28" i="2"/>
  <c r="N28" i="2"/>
  <c r="U30" i="6" l="1"/>
  <c r="P30" i="6"/>
  <c r="N30" i="6"/>
  <c r="O30" i="6"/>
  <c r="S30" i="6"/>
  <c r="R30" i="6"/>
  <c r="Q30" i="6"/>
  <c r="T30" i="6"/>
  <c r="M30" i="6"/>
  <c r="I29" i="5"/>
  <c r="I29" i="4"/>
  <c r="I29" i="3"/>
  <c r="K29" i="2"/>
  <c r="L29" i="2"/>
  <c r="F28" i="5"/>
  <c r="F28" i="2"/>
  <c r="K29" i="5" l="1"/>
  <c r="J29" i="5"/>
  <c r="K29" i="4"/>
  <c r="J29" i="4"/>
  <c r="K29" i="3"/>
  <c r="J29" i="3"/>
  <c r="I29" i="6"/>
  <c r="M29" i="2"/>
  <c r="S29" i="2"/>
  <c r="R29" i="2"/>
  <c r="P29" i="2"/>
  <c r="W28" i="6"/>
  <c r="D28" i="6"/>
  <c r="C28" i="6"/>
  <c r="B28" i="6"/>
  <c r="E28" i="5"/>
  <c r="E28" i="4"/>
  <c r="E28" i="3"/>
  <c r="V28" i="3" s="1"/>
  <c r="E28" i="2"/>
  <c r="V28" i="2" s="1"/>
  <c r="V28" i="4" l="1"/>
  <c r="F28" i="4"/>
  <c r="L29" i="5"/>
  <c r="L29" i="4"/>
  <c r="L29" i="3"/>
  <c r="J29" i="6"/>
  <c r="K29" i="6"/>
  <c r="F28" i="3"/>
  <c r="E28" i="6"/>
  <c r="H28" i="2"/>
  <c r="V28" i="5"/>
  <c r="G28" i="5"/>
  <c r="G28" i="4"/>
  <c r="G28" i="3"/>
  <c r="G28" i="2"/>
  <c r="T29" i="4" l="1"/>
  <c r="Q29" i="4"/>
  <c r="O29" i="4"/>
  <c r="N29" i="4"/>
  <c r="S29" i="5"/>
  <c r="O29" i="5"/>
  <c r="M29" i="5"/>
  <c r="P29" i="5"/>
  <c r="R29" i="5"/>
  <c r="S29" i="4"/>
  <c r="M29" i="4"/>
  <c r="U29" i="4"/>
  <c r="P29" i="4"/>
  <c r="R29" i="4"/>
  <c r="U29" i="3"/>
  <c r="M29" i="3"/>
  <c r="R29" i="3"/>
  <c r="S29" i="3"/>
  <c r="P29" i="3"/>
  <c r="L29" i="6"/>
  <c r="V28" i="6"/>
  <c r="H28" i="5"/>
  <c r="H28" i="4"/>
  <c r="H28" i="3"/>
  <c r="I28" i="2"/>
  <c r="G28" i="6"/>
  <c r="F28" i="6"/>
  <c r="O27" i="5"/>
  <c r="N27" i="5"/>
  <c r="O27" i="3"/>
  <c r="N27" i="3"/>
  <c r="T27" i="2"/>
  <c r="O27" i="2"/>
  <c r="N27" i="2"/>
  <c r="F27" i="3"/>
  <c r="F27" i="2"/>
  <c r="S29" i="6" l="1"/>
  <c r="R29" i="6"/>
  <c r="M29" i="6"/>
  <c r="Q29" i="6"/>
  <c r="U29" i="6"/>
  <c r="T29" i="6"/>
  <c r="P29" i="6"/>
  <c r="N29" i="6"/>
  <c r="O29" i="6"/>
  <c r="I28" i="5"/>
  <c r="I28" i="4"/>
  <c r="H28" i="6"/>
  <c r="I28" i="3"/>
  <c r="K28" i="2"/>
  <c r="L28" i="2" s="1"/>
  <c r="J28" i="2"/>
  <c r="W27" i="6"/>
  <c r="D27" i="6"/>
  <c r="C27" i="6"/>
  <c r="B27" i="6"/>
  <c r="E27" i="5"/>
  <c r="F27" i="5" s="1"/>
  <c r="E27" i="4"/>
  <c r="E27" i="3"/>
  <c r="E27" i="2"/>
  <c r="V27" i="4" l="1"/>
  <c r="F27" i="4"/>
  <c r="K28" i="5"/>
  <c r="J28" i="5"/>
  <c r="K28" i="4"/>
  <c r="J28" i="4"/>
  <c r="J28" i="3"/>
  <c r="K28" i="3"/>
  <c r="I28" i="6"/>
  <c r="R28" i="2"/>
  <c r="S28" i="2"/>
  <c r="P28" i="2"/>
  <c r="M28" i="2"/>
  <c r="Q28" i="2"/>
  <c r="E27" i="6"/>
  <c r="H27" i="2"/>
  <c r="H27" i="5"/>
  <c r="V27" i="5"/>
  <c r="G27" i="5"/>
  <c r="G27" i="4"/>
  <c r="V27" i="3"/>
  <c r="G27" i="3"/>
  <c r="V27" i="2"/>
  <c r="G27" i="2"/>
  <c r="L28" i="5" l="1"/>
  <c r="K28" i="6"/>
  <c r="L28" i="4"/>
  <c r="L28" i="3"/>
  <c r="J28" i="6"/>
  <c r="I27" i="5"/>
  <c r="H27" i="4"/>
  <c r="H27" i="6" s="1"/>
  <c r="H27" i="3"/>
  <c r="I27" i="2"/>
  <c r="G27" i="6"/>
  <c r="V27" i="6"/>
  <c r="F27" i="6"/>
  <c r="K27" i="5"/>
  <c r="J27" i="5"/>
  <c r="K27" i="2"/>
  <c r="J27" i="2"/>
  <c r="N26" i="3"/>
  <c r="U26" i="5"/>
  <c r="T26" i="5"/>
  <c r="Q26" i="5"/>
  <c r="O26" i="5"/>
  <c r="N26" i="5"/>
  <c r="T26" i="3"/>
  <c r="Q26" i="3"/>
  <c r="O26" i="3"/>
  <c r="Q28" i="4" l="1"/>
  <c r="O28" i="4"/>
  <c r="N28" i="4"/>
  <c r="T28" i="4"/>
  <c r="M28" i="5"/>
  <c r="S28" i="5"/>
  <c r="Q28" i="5"/>
  <c r="P28" i="5"/>
  <c r="U28" i="5"/>
  <c r="R28" i="5"/>
  <c r="T28" i="5"/>
  <c r="U28" i="4"/>
  <c r="R28" i="4"/>
  <c r="S28" i="4"/>
  <c r="M28" i="4"/>
  <c r="P28" i="4"/>
  <c r="U28" i="3"/>
  <c r="O28" i="3"/>
  <c r="L28" i="6"/>
  <c r="R28" i="3"/>
  <c r="S28" i="3"/>
  <c r="M28" i="3"/>
  <c r="P28" i="3"/>
  <c r="I27" i="4"/>
  <c r="I27" i="3"/>
  <c r="L27" i="5"/>
  <c r="L27" i="2"/>
  <c r="O26" i="2"/>
  <c r="N26" i="2"/>
  <c r="F26" i="5"/>
  <c r="F26" i="2"/>
  <c r="S28" i="6" l="1"/>
  <c r="T28" i="6"/>
  <c r="Q28" i="6"/>
  <c r="P28" i="6"/>
  <c r="N28" i="6"/>
  <c r="R28" i="6"/>
  <c r="O28" i="6"/>
  <c r="M28" i="6"/>
  <c r="U28" i="6"/>
  <c r="T27" i="5"/>
  <c r="U27" i="5"/>
  <c r="Q27" i="5"/>
  <c r="K27" i="4"/>
  <c r="J27" i="4"/>
  <c r="J27" i="3"/>
  <c r="K27" i="3"/>
  <c r="I27" i="6"/>
  <c r="M27" i="5"/>
  <c r="S27" i="5"/>
  <c r="R27" i="5"/>
  <c r="P27" i="5"/>
  <c r="S27" i="2"/>
  <c r="Q27" i="2"/>
  <c r="P27" i="2"/>
  <c r="R27" i="2"/>
  <c r="M27" i="2"/>
  <c r="W26" i="6"/>
  <c r="D26" i="6"/>
  <c r="C26" i="6"/>
  <c r="B26" i="6"/>
  <c r="E26" i="5"/>
  <c r="G26" i="5" s="1"/>
  <c r="E26" i="4"/>
  <c r="E26" i="3"/>
  <c r="E26" i="2"/>
  <c r="V26" i="4" l="1"/>
  <c r="F26" i="4"/>
  <c r="E26" i="6"/>
  <c r="L27" i="4"/>
  <c r="O27" i="4" s="1"/>
  <c r="K27" i="6"/>
  <c r="L27" i="3"/>
  <c r="J27" i="6"/>
  <c r="F26" i="3"/>
  <c r="V26" i="5"/>
  <c r="G26" i="4"/>
  <c r="V26" i="3"/>
  <c r="G26" i="3"/>
  <c r="V26" i="2"/>
  <c r="G26" i="2"/>
  <c r="T27" i="4" l="1"/>
  <c r="N27" i="4"/>
  <c r="M27" i="4"/>
  <c r="S27" i="4"/>
  <c r="P27" i="4"/>
  <c r="U27" i="4"/>
  <c r="R27" i="4"/>
  <c r="Q27" i="4"/>
  <c r="Q27" i="3"/>
  <c r="T27" i="3"/>
  <c r="P27" i="3"/>
  <c r="U27" i="3"/>
  <c r="S27" i="3"/>
  <c r="R27" i="3"/>
  <c r="M27" i="3"/>
  <c r="L27" i="6"/>
  <c r="H26" i="5"/>
  <c r="H26" i="4"/>
  <c r="H26" i="3"/>
  <c r="F26" i="6"/>
  <c r="G26" i="6"/>
  <c r="V26" i="6"/>
  <c r="H26" i="2"/>
  <c r="U25" i="5"/>
  <c r="T25" i="5"/>
  <c r="Q25" i="5"/>
  <c r="O25" i="5"/>
  <c r="N25" i="5"/>
  <c r="T25" i="2"/>
  <c r="Q25" i="2"/>
  <c r="O25" i="2"/>
  <c r="N25" i="2"/>
  <c r="U27" i="6" l="1"/>
  <c r="N27" i="6"/>
  <c r="O27" i="6"/>
  <c r="S27" i="6"/>
  <c r="P27" i="6"/>
  <c r="M27" i="6"/>
  <c r="Q27" i="6"/>
  <c r="T27" i="6"/>
  <c r="R27" i="6"/>
  <c r="I26" i="5"/>
  <c r="I26" i="4"/>
  <c r="I26" i="3"/>
  <c r="I26" i="2"/>
  <c r="H26" i="6"/>
  <c r="F25" i="5"/>
  <c r="F25" i="3"/>
  <c r="F25" i="2"/>
  <c r="J26" i="5" l="1"/>
  <c r="K26" i="5"/>
  <c r="J26" i="4"/>
  <c r="K26" i="4"/>
  <c r="K26" i="3"/>
  <c r="J26" i="3"/>
  <c r="I26" i="6"/>
  <c r="J26" i="2"/>
  <c r="K26" i="2"/>
  <c r="W25" i="6"/>
  <c r="D25" i="6"/>
  <c r="C25" i="6"/>
  <c r="B25" i="6"/>
  <c r="E25" i="5"/>
  <c r="E25" i="4"/>
  <c r="F25" i="4" s="1"/>
  <c r="E25" i="3"/>
  <c r="E25" i="2"/>
  <c r="L26" i="5" l="1"/>
  <c r="L26" i="4"/>
  <c r="L26" i="3"/>
  <c r="K26" i="6"/>
  <c r="L26" i="2"/>
  <c r="J26" i="6"/>
  <c r="E25" i="6"/>
  <c r="G25" i="5"/>
  <c r="V25" i="5"/>
  <c r="V25" i="4"/>
  <c r="G25" i="4"/>
  <c r="V25" i="3"/>
  <c r="G25" i="3"/>
  <c r="V25" i="2"/>
  <c r="G25" i="2"/>
  <c r="O26" i="4" l="1"/>
  <c r="N26" i="4"/>
  <c r="T26" i="4"/>
  <c r="M26" i="5"/>
  <c r="S26" i="5"/>
  <c r="P26" i="5"/>
  <c r="R26" i="5"/>
  <c r="Q26" i="4"/>
  <c r="S26" i="4"/>
  <c r="P26" i="4"/>
  <c r="R26" i="4"/>
  <c r="M26" i="4"/>
  <c r="U26" i="4"/>
  <c r="M26" i="3"/>
  <c r="P26" i="3"/>
  <c r="U26" i="3"/>
  <c r="S26" i="3"/>
  <c r="R26" i="3"/>
  <c r="T26" i="2"/>
  <c r="Q26" i="2"/>
  <c r="L26" i="6"/>
  <c r="M26" i="2"/>
  <c r="S26" i="2"/>
  <c r="R26" i="2"/>
  <c r="P26" i="2"/>
  <c r="H25" i="5"/>
  <c r="H25" i="4"/>
  <c r="H25" i="3"/>
  <c r="G25" i="6"/>
  <c r="H25" i="2"/>
  <c r="F25" i="6"/>
  <c r="V25" i="6"/>
  <c r="U26" i="6" l="1"/>
  <c r="M26" i="6"/>
  <c r="N26" i="6"/>
  <c r="S26" i="6"/>
  <c r="Q26" i="6"/>
  <c r="P26" i="6"/>
  <c r="T26" i="6"/>
  <c r="R26" i="6"/>
  <c r="O26" i="6"/>
  <c r="I25" i="5"/>
  <c r="I25" i="4"/>
  <c r="I25" i="3"/>
  <c r="I25" i="2"/>
  <c r="H25" i="6"/>
  <c r="O24" i="5"/>
  <c r="N24" i="5"/>
  <c r="F24" i="5"/>
  <c r="J25" i="5" l="1"/>
  <c r="K25" i="5"/>
  <c r="J25" i="4"/>
  <c r="K25" i="4"/>
  <c r="K25" i="3"/>
  <c r="J25" i="3"/>
  <c r="I25" i="6"/>
  <c r="K25" i="2"/>
  <c r="J25" i="2"/>
  <c r="T24" i="3"/>
  <c r="O24" i="3"/>
  <c r="N24" i="3"/>
  <c r="F24" i="3"/>
  <c r="T24" i="2"/>
  <c r="Q24" i="2"/>
  <c r="O24" i="2"/>
  <c r="N24" i="2"/>
  <c r="L25" i="5" l="1"/>
  <c r="L25" i="4"/>
  <c r="L25" i="3"/>
  <c r="L25" i="2"/>
  <c r="J25" i="6"/>
  <c r="K25" i="6"/>
  <c r="W24" i="6"/>
  <c r="D24" i="6"/>
  <c r="C24" i="6"/>
  <c r="B24" i="6"/>
  <c r="E24" i="5"/>
  <c r="E24" i="4"/>
  <c r="G24" i="4" s="1"/>
  <c r="E24" i="3"/>
  <c r="V24" i="3" s="1"/>
  <c r="E24" i="2"/>
  <c r="E24" i="6" s="1"/>
  <c r="O25" i="4" l="1"/>
  <c r="T25" i="4"/>
  <c r="N25" i="4"/>
  <c r="Q25" i="4"/>
  <c r="M25" i="5"/>
  <c r="S25" i="5"/>
  <c r="P25" i="5"/>
  <c r="R25" i="5"/>
  <c r="M25" i="4"/>
  <c r="P25" i="4"/>
  <c r="U25" i="4"/>
  <c r="S25" i="4"/>
  <c r="R25" i="4"/>
  <c r="P25" i="3"/>
  <c r="N25" i="3"/>
  <c r="O25" i="3"/>
  <c r="T25" i="3"/>
  <c r="U25" i="3"/>
  <c r="M25" i="3"/>
  <c r="R25" i="3"/>
  <c r="Q25" i="3"/>
  <c r="S25" i="3"/>
  <c r="L25" i="6"/>
  <c r="R25" i="2"/>
  <c r="P25" i="2"/>
  <c r="S25" i="2"/>
  <c r="M25" i="2"/>
  <c r="F24" i="4"/>
  <c r="F24" i="2"/>
  <c r="H24" i="2" s="1"/>
  <c r="V24" i="5"/>
  <c r="G24" i="5"/>
  <c r="V24" i="4"/>
  <c r="G24" i="3"/>
  <c r="V24" i="2"/>
  <c r="G24" i="2"/>
  <c r="U25" i="6" l="1"/>
  <c r="R25" i="6"/>
  <c r="T25" i="6"/>
  <c r="P25" i="6"/>
  <c r="N25" i="6"/>
  <c r="Q25" i="6"/>
  <c r="M25" i="6"/>
  <c r="O25" i="6"/>
  <c r="S25" i="6"/>
  <c r="H24" i="4"/>
  <c r="I24" i="4"/>
  <c r="J24" i="4" s="1"/>
  <c r="H24" i="3"/>
  <c r="I24" i="2"/>
  <c r="G24" i="6"/>
  <c r="F24" i="6"/>
  <c r="V24" i="6"/>
  <c r="H24" i="5"/>
  <c r="K24" i="2"/>
  <c r="J24" i="2"/>
  <c r="U23" i="5"/>
  <c r="T23" i="5"/>
  <c r="Q23" i="5"/>
  <c r="O23" i="5"/>
  <c r="N23" i="5"/>
  <c r="T23" i="3"/>
  <c r="Q23" i="3"/>
  <c r="O23" i="3"/>
  <c r="N23" i="3"/>
  <c r="F23" i="3"/>
  <c r="K24" i="4" l="1"/>
  <c r="I24" i="5"/>
  <c r="J24" i="5" s="1"/>
  <c r="H24" i="6"/>
  <c r="L24" i="4"/>
  <c r="I24" i="3"/>
  <c r="L24" i="2"/>
  <c r="K24" i="5"/>
  <c r="U24" i="4"/>
  <c r="S24" i="2"/>
  <c r="M24" i="2"/>
  <c r="R24" i="2"/>
  <c r="P24" i="2"/>
  <c r="N23" i="2"/>
  <c r="F23" i="2"/>
  <c r="T24" i="4" l="1"/>
  <c r="Q24" i="4"/>
  <c r="N24" i="4"/>
  <c r="O24" i="4"/>
  <c r="S24" i="4"/>
  <c r="P24" i="4"/>
  <c r="R24" i="4"/>
  <c r="M24" i="4"/>
  <c r="L24" i="5"/>
  <c r="S24" i="5" s="1"/>
  <c r="K24" i="3"/>
  <c r="J24" i="3"/>
  <c r="I24" i="6"/>
  <c r="W23" i="6"/>
  <c r="D23" i="6"/>
  <c r="C23" i="6"/>
  <c r="B23" i="6"/>
  <c r="E23" i="5"/>
  <c r="V23" i="5" s="1"/>
  <c r="E23" i="4"/>
  <c r="E23" i="3"/>
  <c r="E23" i="2"/>
  <c r="G23" i="2" s="1"/>
  <c r="V23" i="4" l="1"/>
  <c r="F23" i="4"/>
  <c r="M24" i="5"/>
  <c r="P24" i="5"/>
  <c r="R24" i="5"/>
  <c r="U24" i="5"/>
  <c r="Q24" i="5"/>
  <c r="T24" i="5"/>
  <c r="L24" i="3"/>
  <c r="J24" i="6"/>
  <c r="K24" i="6"/>
  <c r="E23" i="6"/>
  <c r="H23" i="2"/>
  <c r="G23" i="5"/>
  <c r="F23" i="5"/>
  <c r="G23" i="4"/>
  <c r="V23" i="3"/>
  <c r="G23" i="3"/>
  <c r="V23" i="2"/>
  <c r="M24" i="3" l="1"/>
  <c r="Q24" i="3"/>
  <c r="P24" i="3"/>
  <c r="U24" i="3"/>
  <c r="R24" i="3"/>
  <c r="S24" i="3"/>
  <c r="L24" i="6"/>
  <c r="H23" i="5"/>
  <c r="H23" i="4"/>
  <c r="H23" i="3"/>
  <c r="G23" i="6"/>
  <c r="I23" i="2"/>
  <c r="H23" i="6"/>
  <c r="F23" i="6"/>
  <c r="V23" i="6"/>
  <c r="K23" i="2"/>
  <c r="J23" i="2"/>
  <c r="N22" i="5"/>
  <c r="T22" i="3"/>
  <c r="O22" i="3"/>
  <c r="N22" i="3"/>
  <c r="F22" i="3"/>
  <c r="T22" i="2"/>
  <c r="Q22" i="2"/>
  <c r="N22" i="2"/>
  <c r="F22" i="2"/>
  <c r="U24" i="6" l="1"/>
  <c r="P24" i="6"/>
  <c r="Q24" i="6"/>
  <c r="T24" i="6"/>
  <c r="O24" i="6"/>
  <c r="S24" i="6"/>
  <c r="N24" i="6"/>
  <c r="R24" i="6"/>
  <c r="M24" i="6"/>
  <c r="I23" i="5"/>
  <c r="I23" i="4"/>
  <c r="I23" i="3"/>
  <c r="L23" i="2"/>
  <c r="W22" i="6"/>
  <c r="D22" i="6"/>
  <c r="C22" i="6"/>
  <c r="B22" i="6"/>
  <c r="E22" i="5"/>
  <c r="E22" i="4"/>
  <c r="E22" i="3"/>
  <c r="E22" i="2"/>
  <c r="V22" i="2" s="1"/>
  <c r="V22" i="4" l="1"/>
  <c r="F22" i="4"/>
  <c r="K23" i="5"/>
  <c r="J23" i="5"/>
  <c r="J23" i="4"/>
  <c r="K23" i="4"/>
  <c r="K23" i="3"/>
  <c r="J23" i="3"/>
  <c r="I23" i="6"/>
  <c r="T23" i="2"/>
  <c r="Q23" i="2"/>
  <c r="P23" i="2"/>
  <c r="O23" i="2"/>
  <c r="R23" i="2"/>
  <c r="M23" i="2"/>
  <c r="S23" i="2"/>
  <c r="F22" i="5"/>
  <c r="E22" i="6"/>
  <c r="V22" i="5"/>
  <c r="G22" i="5"/>
  <c r="G22" i="4"/>
  <c r="V22" i="3"/>
  <c r="G22" i="3"/>
  <c r="G22" i="2"/>
  <c r="L23" i="5" l="1"/>
  <c r="L23" i="4"/>
  <c r="L23" i="3"/>
  <c r="J23" i="6"/>
  <c r="K23" i="6"/>
  <c r="H22" i="5"/>
  <c r="H22" i="4"/>
  <c r="H22" i="3"/>
  <c r="V22" i="6"/>
  <c r="H22" i="2"/>
  <c r="F22" i="6"/>
  <c r="G22" i="6"/>
  <c r="N23" i="4" l="1"/>
  <c r="T23" i="4"/>
  <c r="M23" i="5"/>
  <c r="R23" i="5"/>
  <c r="S23" i="5"/>
  <c r="P23" i="5"/>
  <c r="U23" i="4"/>
  <c r="O23" i="4"/>
  <c r="Q23" i="4"/>
  <c r="P23" i="4"/>
  <c r="S23" i="4"/>
  <c r="M23" i="4"/>
  <c r="R23" i="4"/>
  <c r="P23" i="3"/>
  <c r="S23" i="3"/>
  <c r="R23" i="3"/>
  <c r="L23" i="6"/>
  <c r="M23" i="3"/>
  <c r="U23" i="3"/>
  <c r="I22" i="5"/>
  <c r="I22" i="4"/>
  <c r="I22" i="3"/>
  <c r="I22" i="2"/>
  <c r="H22" i="6"/>
  <c r="O21" i="5"/>
  <c r="N21" i="5"/>
  <c r="F21" i="5"/>
  <c r="T21" i="3"/>
  <c r="Q21" i="3"/>
  <c r="O21" i="3"/>
  <c r="N21" i="3"/>
  <c r="F21" i="3"/>
  <c r="N21" i="2"/>
  <c r="R23" i="6" l="1"/>
  <c r="S23" i="6"/>
  <c r="Q23" i="6"/>
  <c r="T23" i="6"/>
  <c r="M23" i="6"/>
  <c r="N23" i="6"/>
  <c r="O23" i="6"/>
  <c r="U23" i="6"/>
  <c r="P23" i="6"/>
  <c r="K22" i="5"/>
  <c r="J22" i="5"/>
  <c r="K22" i="4"/>
  <c r="J22" i="4"/>
  <c r="K22" i="3"/>
  <c r="J22" i="3"/>
  <c r="I22" i="6"/>
  <c r="J22" i="2"/>
  <c r="K22" i="2"/>
  <c r="W21" i="6"/>
  <c r="D21" i="6"/>
  <c r="C21" i="6"/>
  <c r="B21" i="6"/>
  <c r="E21" i="5"/>
  <c r="V21" i="5" s="1"/>
  <c r="E21" i="4"/>
  <c r="E21" i="3"/>
  <c r="G21" i="3" s="1"/>
  <c r="E21" i="2"/>
  <c r="L22" i="5" l="1"/>
  <c r="L22" i="4"/>
  <c r="L22" i="3"/>
  <c r="K22" i="6"/>
  <c r="J22" i="6"/>
  <c r="L22" i="2"/>
  <c r="E21" i="6"/>
  <c r="G21" i="5"/>
  <c r="F21" i="4"/>
  <c r="V21" i="4"/>
  <c r="G21" i="4"/>
  <c r="V21" i="3"/>
  <c r="G21" i="2"/>
  <c r="V21" i="2"/>
  <c r="F21" i="2"/>
  <c r="T22" i="4" l="1"/>
  <c r="O22" i="4"/>
  <c r="N22" i="4"/>
  <c r="T22" i="5"/>
  <c r="O22" i="5"/>
  <c r="P22" i="5"/>
  <c r="M22" i="5"/>
  <c r="U22" i="5"/>
  <c r="S22" i="5"/>
  <c r="R22" i="5"/>
  <c r="Q22" i="5"/>
  <c r="Q22" i="4"/>
  <c r="S22" i="4"/>
  <c r="U22" i="4"/>
  <c r="P22" i="4"/>
  <c r="R22" i="4"/>
  <c r="M22" i="4"/>
  <c r="M22" i="3"/>
  <c r="Q22" i="3"/>
  <c r="P22" i="3"/>
  <c r="U22" i="3"/>
  <c r="S22" i="3"/>
  <c r="R22" i="3"/>
  <c r="S22" i="2"/>
  <c r="L22" i="6"/>
  <c r="O22" i="2"/>
  <c r="M22" i="2"/>
  <c r="P22" i="2"/>
  <c r="R22" i="2"/>
  <c r="H21" i="5"/>
  <c r="H21" i="3"/>
  <c r="H21" i="2"/>
  <c r="F21" i="6"/>
  <c r="V21" i="6"/>
  <c r="G21" i="6"/>
  <c r="H21" i="4"/>
  <c r="O20" i="5"/>
  <c r="N20" i="5"/>
  <c r="T20" i="3"/>
  <c r="Q20" i="3"/>
  <c r="N20" i="3"/>
  <c r="F20" i="3"/>
  <c r="O20" i="2"/>
  <c r="N20" i="2"/>
  <c r="U22" i="6" l="1"/>
  <c r="M22" i="6"/>
  <c r="T22" i="6"/>
  <c r="N22" i="6"/>
  <c r="O22" i="6"/>
  <c r="R22" i="6"/>
  <c r="Q22" i="6"/>
  <c r="P22" i="6"/>
  <c r="S22" i="6"/>
  <c r="I21" i="5"/>
  <c r="I21" i="4"/>
  <c r="K21" i="4" s="1"/>
  <c r="I21" i="3"/>
  <c r="I21" i="2"/>
  <c r="H21" i="6"/>
  <c r="J21" i="4"/>
  <c r="W20" i="6"/>
  <c r="D20" i="6"/>
  <c r="C20" i="6"/>
  <c r="B20" i="6"/>
  <c r="E20" i="5"/>
  <c r="E20" i="4"/>
  <c r="V20" i="4" s="1"/>
  <c r="E20" i="3"/>
  <c r="E20" i="2"/>
  <c r="F20" i="2" s="1"/>
  <c r="J21" i="5" l="1"/>
  <c r="K21" i="5"/>
  <c r="L21" i="4"/>
  <c r="J21" i="3"/>
  <c r="K21" i="3"/>
  <c r="I21" i="6"/>
  <c r="K21" i="2"/>
  <c r="J21" i="2"/>
  <c r="F20" i="4"/>
  <c r="E20" i="6"/>
  <c r="F20" i="5"/>
  <c r="V20" i="5"/>
  <c r="G20" i="5"/>
  <c r="G20" i="4"/>
  <c r="V20" i="3"/>
  <c r="G20" i="3"/>
  <c r="V20" i="2"/>
  <c r="G20" i="2"/>
  <c r="H20" i="2" s="1"/>
  <c r="P21" i="4" l="1"/>
  <c r="T21" i="4"/>
  <c r="Q21" i="4"/>
  <c r="N21" i="4"/>
  <c r="O21" i="4"/>
  <c r="U21" i="4"/>
  <c r="M21" i="4"/>
  <c r="L21" i="5"/>
  <c r="R21" i="4"/>
  <c r="S21" i="4"/>
  <c r="L21" i="3"/>
  <c r="K21" i="6"/>
  <c r="J21" i="6"/>
  <c r="L21" i="2"/>
  <c r="H20" i="5"/>
  <c r="H20" i="4"/>
  <c r="H20" i="3"/>
  <c r="F20" i="6"/>
  <c r="I20" i="2"/>
  <c r="V20" i="6"/>
  <c r="G20" i="6"/>
  <c r="J20" i="2"/>
  <c r="K20" i="2"/>
  <c r="U19" i="5"/>
  <c r="T19" i="5"/>
  <c r="Q19" i="5"/>
  <c r="O19" i="5"/>
  <c r="N19" i="5"/>
  <c r="T19" i="3"/>
  <c r="Q19" i="3"/>
  <c r="O19" i="3"/>
  <c r="N19" i="3"/>
  <c r="T21" i="5" l="1"/>
  <c r="M21" i="5"/>
  <c r="R21" i="5"/>
  <c r="U21" i="5"/>
  <c r="S21" i="5"/>
  <c r="Q21" i="5"/>
  <c r="P21" i="5"/>
  <c r="P21" i="3"/>
  <c r="R21" i="3"/>
  <c r="U21" i="3"/>
  <c r="M21" i="3"/>
  <c r="S21" i="3"/>
  <c r="Q21" i="2"/>
  <c r="L21" i="6"/>
  <c r="O21" i="2"/>
  <c r="R21" i="2"/>
  <c r="P21" i="2"/>
  <c r="T21" i="2"/>
  <c r="M21" i="2"/>
  <c r="S21" i="2"/>
  <c r="H20" i="6"/>
  <c r="I20" i="5"/>
  <c r="I20" i="4"/>
  <c r="I20" i="3"/>
  <c r="L20" i="2"/>
  <c r="T19" i="2"/>
  <c r="Q19" i="2"/>
  <c r="O19" i="2"/>
  <c r="N19" i="2"/>
  <c r="F19" i="2"/>
  <c r="W19" i="6"/>
  <c r="D19" i="6"/>
  <c r="C19" i="6"/>
  <c r="B19" i="6"/>
  <c r="E19" i="5"/>
  <c r="V19" i="5" s="1"/>
  <c r="E19" i="4"/>
  <c r="V19" i="4" l="1"/>
  <c r="F19" i="4"/>
  <c r="U21" i="6"/>
  <c r="T21" i="6"/>
  <c r="N21" i="6"/>
  <c r="P21" i="6"/>
  <c r="O21" i="6"/>
  <c r="S21" i="6"/>
  <c r="R21" i="6"/>
  <c r="M21" i="6"/>
  <c r="Q21" i="6"/>
  <c r="K20" i="5"/>
  <c r="J20" i="5"/>
  <c r="J20" i="4"/>
  <c r="K20" i="4"/>
  <c r="K20" i="3"/>
  <c r="J20" i="3"/>
  <c r="I20" i="6"/>
  <c r="T20" i="2"/>
  <c r="Q20" i="2"/>
  <c r="R20" i="2"/>
  <c r="P20" i="2"/>
  <c r="S20" i="2"/>
  <c r="M20" i="2"/>
  <c r="G19" i="5"/>
  <c r="F19" i="5"/>
  <c r="G19" i="4"/>
  <c r="E19" i="3"/>
  <c r="E19" i="2"/>
  <c r="L20" i="5" l="1"/>
  <c r="L20" i="4"/>
  <c r="L20" i="3"/>
  <c r="J20" i="6"/>
  <c r="K20" i="6"/>
  <c r="H19" i="5"/>
  <c r="F19" i="3"/>
  <c r="E19" i="6"/>
  <c r="H19" i="2"/>
  <c r="H19" i="4"/>
  <c r="V19" i="3"/>
  <c r="G19" i="3"/>
  <c r="V19" i="2"/>
  <c r="G19" i="2"/>
  <c r="N20" i="4" l="1"/>
  <c r="T20" i="4"/>
  <c r="Q20" i="4"/>
  <c r="U20" i="5"/>
  <c r="T20" i="5"/>
  <c r="Q20" i="5"/>
  <c r="M20" i="5"/>
  <c r="S20" i="5"/>
  <c r="R20" i="5"/>
  <c r="P20" i="5"/>
  <c r="O20" i="4"/>
  <c r="R20" i="4"/>
  <c r="S20" i="4"/>
  <c r="U20" i="4"/>
  <c r="M20" i="4"/>
  <c r="P20" i="4"/>
  <c r="O20" i="3"/>
  <c r="R20" i="3"/>
  <c r="M20" i="3"/>
  <c r="P20" i="3"/>
  <c r="U20" i="3"/>
  <c r="S20" i="3"/>
  <c r="L20" i="6"/>
  <c r="I19" i="5"/>
  <c r="I19" i="4"/>
  <c r="K19" i="4" s="1"/>
  <c r="H19" i="3"/>
  <c r="H19" i="6" s="1"/>
  <c r="I19" i="2"/>
  <c r="G19" i="6"/>
  <c r="F19" i="6"/>
  <c r="V19" i="6"/>
  <c r="J19" i="2"/>
  <c r="U18" i="5"/>
  <c r="T18" i="5"/>
  <c r="Q18" i="5"/>
  <c r="O18" i="5"/>
  <c r="N18" i="5"/>
  <c r="O18" i="3"/>
  <c r="N18" i="3"/>
  <c r="F18" i="3"/>
  <c r="P20" i="6" l="1"/>
  <c r="M20" i="6"/>
  <c r="R20" i="6"/>
  <c r="N20" i="6"/>
  <c r="O20" i="6"/>
  <c r="Q20" i="6"/>
  <c r="S20" i="6"/>
  <c r="U20" i="6"/>
  <c r="T20" i="6"/>
  <c r="J19" i="5"/>
  <c r="K19" i="5"/>
  <c r="J19" i="4"/>
  <c r="L19" i="4" s="1"/>
  <c r="I19" i="3"/>
  <c r="K19" i="2"/>
  <c r="L19" i="2"/>
  <c r="T18" i="2"/>
  <c r="Q18" i="2"/>
  <c r="O18" i="2"/>
  <c r="N18" i="2"/>
  <c r="F18" i="2"/>
  <c r="W18" i="6"/>
  <c r="D18" i="6"/>
  <c r="C18" i="6"/>
  <c r="B18" i="6"/>
  <c r="E18" i="5"/>
  <c r="E18" i="4"/>
  <c r="V18" i="4" s="1"/>
  <c r="E18" i="3"/>
  <c r="E18" i="2"/>
  <c r="V18" i="2" s="1"/>
  <c r="O19" i="4" l="1"/>
  <c r="N19" i="4"/>
  <c r="L19" i="5"/>
  <c r="S19" i="4"/>
  <c r="R19" i="4"/>
  <c r="M19" i="4"/>
  <c r="U19" i="4"/>
  <c r="Q19" i="4"/>
  <c r="T19" i="4"/>
  <c r="P19" i="4"/>
  <c r="K19" i="3"/>
  <c r="J19" i="3"/>
  <c r="I19" i="6"/>
  <c r="S19" i="2"/>
  <c r="P19" i="2"/>
  <c r="M19" i="2"/>
  <c r="R19" i="2"/>
  <c r="F18" i="5"/>
  <c r="F18" i="4"/>
  <c r="H18" i="2"/>
  <c r="E18" i="6"/>
  <c r="V18" i="5"/>
  <c r="G18" i="5"/>
  <c r="G18" i="4"/>
  <c r="V18" i="3"/>
  <c r="G18" i="3"/>
  <c r="G18" i="2"/>
  <c r="R19" i="5" l="1"/>
  <c r="P19" i="5"/>
  <c r="M19" i="5"/>
  <c r="S19" i="5"/>
  <c r="L19" i="3"/>
  <c r="J19" i="6"/>
  <c r="K19" i="6"/>
  <c r="H18" i="5"/>
  <c r="H18" i="6" s="1"/>
  <c r="H18" i="4"/>
  <c r="H18" i="3"/>
  <c r="I18" i="3" s="1"/>
  <c r="K18" i="3" s="1"/>
  <c r="V18" i="6"/>
  <c r="I18" i="2"/>
  <c r="G18" i="6"/>
  <c r="F18" i="6"/>
  <c r="N17" i="2"/>
  <c r="O17" i="5"/>
  <c r="N17" i="5"/>
  <c r="F17" i="5"/>
  <c r="T17" i="3"/>
  <c r="Q17" i="3"/>
  <c r="O17" i="3"/>
  <c r="N17" i="3"/>
  <c r="F17" i="3"/>
  <c r="F17" i="2"/>
  <c r="M19" i="3" l="1"/>
  <c r="U19" i="3"/>
  <c r="R19" i="3"/>
  <c r="P19" i="3"/>
  <c r="S19" i="3"/>
  <c r="L19" i="6"/>
  <c r="I18" i="5"/>
  <c r="I18" i="4"/>
  <c r="J18" i="3"/>
  <c r="J18" i="2"/>
  <c r="K18" i="2"/>
  <c r="W17" i="6"/>
  <c r="D17" i="6"/>
  <c r="C17" i="6"/>
  <c r="B17" i="6"/>
  <c r="E17" i="5"/>
  <c r="V17" i="5" s="1"/>
  <c r="E17" i="4"/>
  <c r="F17" i="4" s="1"/>
  <c r="E17" i="3"/>
  <c r="E17" i="2"/>
  <c r="G17" i="2" s="1"/>
  <c r="R19" i="6" l="1"/>
  <c r="M19" i="6"/>
  <c r="O19" i="6"/>
  <c r="P19" i="6"/>
  <c r="T19" i="6"/>
  <c r="N19" i="6"/>
  <c r="Q19" i="6"/>
  <c r="U19" i="6"/>
  <c r="S19" i="6"/>
  <c r="K18" i="5"/>
  <c r="J18" i="5"/>
  <c r="K18" i="4"/>
  <c r="J18" i="4"/>
  <c r="I18" i="6"/>
  <c r="L18" i="3"/>
  <c r="S18" i="3" s="1"/>
  <c r="L18" i="2"/>
  <c r="R18" i="2" s="1"/>
  <c r="E17" i="6"/>
  <c r="G17" i="5"/>
  <c r="G17" i="4"/>
  <c r="V17" i="4"/>
  <c r="V17" i="3"/>
  <c r="G17" i="3"/>
  <c r="V17" i="2"/>
  <c r="U16" i="5"/>
  <c r="T16" i="5"/>
  <c r="L18" i="5" l="1"/>
  <c r="K18" i="6"/>
  <c r="L18" i="4"/>
  <c r="J18" i="6"/>
  <c r="M18" i="3"/>
  <c r="U18" i="3"/>
  <c r="P18" i="3"/>
  <c r="R18" i="3"/>
  <c r="T18" i="3"/>
  <c r="Q18" i="3"/>
  <c r="S18" i="2"/>
  <c r="P18" i="2"/>
  <c r="M18" i="2"/>
  <c r="H17" i="5"/>
  <c r="H17" i="4"/>
  <c r="H17" i="3"/>
  <c r="G17" i="6"/>
  <c r="V17" i="6"/>
  <c r="F17" i="6"/>
  <c r="H17" i="2"/>
  <c r="Q18" i="4" l="1"/>
  <c r="T18" i="4"/>
  <c r="N18" i="4"/>
  <c r="L18" i="6"/>
  <c r="S18" i="5"/>
  <c r="P18" i="5"/>
  <c r="R18" i="5"/>
  <c r="M18" i="5"/>
  <c r="O18" i="4"/>
  <c r="U18" i="4"/>
  <c r="S18" i="4"/>
  <c r="R18" i="4"/>
  <c r="P18" i="4"/>
  <c r="M18" i="4"/>
  <c r="I17" i="5"/>
  <c r="I17" i="4"/>
  <c r="I17" i="3"/>
  <c r="I17" i="2"/>
  <c r="H17" i="6"/>
  <c r="O16" i="5"/>
  <c r="N16" i="5"/>
  <c r="F16" i="5"/>
  <c r="T16" i="3"/>
  <c r="Q16" i="3"/>
  <c r="N16" i="3"/>
  <c r="F16" i="3"/>
  <c r="T16" i="2"/>
  <c r="Q16" i="2"/>
  <c r="O16" i="2"/>
  <c r="N16" i="2"/>
  <c r="F16" i="2"/>
  <c r="N18" i="6" l="1"/>
  <c r="M18" i="6"/>
  <c r="O18" i="6"/>
  <c r="Q18" i="6"/>
  <c r="S18" i="6"/>
  <c r="U18" i="6"/>
  <c r="R18" i="6"/>
  <c r="P18" i="6"/>
  <c r="T18" i="6"/>
  <c r="K17" i="5"/>
  <c r="J17" i="5"/>
  <c r="K17" i="4"/>
  <c r="J17" i="4"/>
  <c r="J17" i="3"/>
  <c r="K17" i="3"/>
  <c r="I17" i="6"/>
  <c r="J17" i="2"/>
  <c r="K17" i="2"/>
  <c r="W16" i="6"/>
  <c r="D16" i="6"/>
  <c r="C16" i="6"/>
  <c r="B16" i="6"/>
  <c r="E16" i="5"/>
  <c r="E16" i="4"/>
  <c r="E16" i="3"/>
  <c r="V16" i="3" s="1"/>
  <c r="E16" i="2"/>
  <c r="V16" i="2" s="1"/>
  <c r="V16" i="4" l="1"/>
  <c r="F16" i="4"/>
  <c r="L17" i="5"/>
  <c r="L17" i="4"/>
  <c r="L17" i="3"/>
  <c r="K17" i="6"/>
  <c r="L17" i="2"/>
  <c r="J17" i="6"/>
  <c r="E16" i="6"/>
  <c r="V16" i="5"/>
  <c r="G16" i="5"/>
  <c r="G16" i="4"/>
  <c r="G16" i="3"/>
  <c r="G16" i="2"/>
  <c r="T17" i="4" l="1"/>
  <c r="Q17" i="4"/>
  <c r="O17" i="4"/>
  <c r="N17" i="4"/>
  <c r="U17" i="5"/>
  <c r="M17" i="5"/>
  <c r="T17" i="5"/>
  <c r="S17" i="5"/>
  <c r="R17" i="5"/>
  <c r="Q17" i="5"/>
  <c r="P17" i="5"/>
  <c r="R17" i="4"/>
  <c r="M17" i="4"/>
  <c r="P17" i="4"/>
  <c r="S17" i="4"/>
  <c r="U17" i="4"/>
  <c r="P17" i="3"/>
  <c r="M17" i="3"/>
  <c r="S17" i="3"/>
  <c r="R17" i="3"/>
  <c r="U17" i="3"/>
  <c r="L17" i="6"/>
  <c r="O17" i="2"/>
  <c r="T17" i="2"/>
  <c r="Q17" i="2"/>
  <c r="S17" i="2"/>
  <c r="M17" i="2"/>
  <c r="R17" i="2"/>
  <c r="P17" i="2"/>
  <c r="V16" i="6"/>
  <c r="H16" i="4"/>
  <c r="H16" i="3"/>
  <c r="F16" i="6"/>
  <c r="G16" i="6"/>
  <c r="H16" i="5"/>
  <c r="H16" i="2"/>
  <c r="U17" i="6" l="1"/>
  <c r="M17" i="6"/>
  <c r="Q17" i="6"/>
  <c r="N17" i="6"/>
  <c r="T17" i="6"/>
  <c r="P17" i="6"/>
  <c r="O17" i="6"/>
  <c r="S17" i="6"/>
  <c r="R17" i="6"/>
  <c r="I16" i="5"/>
  <c r="K16" i="5" s="1"/>
  <c r="I16" i="4"/>
  <c r="I16" i="3"/>
  <c r="I16" i="2"/>
  <c r="H16" i="6"/>
  <c r="J16" i="5" l="1"/>
  <c r="L16" i="5"/>
  <c r="J16" i="4"/>
  <c r="K16" i="4"/>
  <c r="K16" i="3"/>
  <c r="J16" i="3"/>
  <c r="J16" i="2"/>
  <c r="I16" i="6"/>
  <c r="K16" i="2"/>
  <c r="M16" i="5"/>
  <c r="P16" i="5"/>
  <c r="Q16" i="5"/>
  <c r="R16" i="5"/>
  <c r="N15" i="5"/>
  <c r="F15" i="5"/>
  <c r="S16" i="5" l="1"/>
  <c r="L16" i="4"/>
  <c r="L16" i="3"/>
  <c r="K16" i="6"/>
  <c r="J16" i="6"/>
  <c r="L16" i="2"/>
  <c r="T15" i="3"/>
  <c r="Q15" i="3"/>
  <c r="O15" i="3"/>
  <c r="N15" i="3"/>
  <c r="F15" i="3"/>
  <c r="O16" i="4" l="1"/>
  <c r="N16" i="4"/>
  <c r="Q16" i="4"/>
  <c r="T16" i="4"/>
  <c r="U16" i="4"/>
  <c r="M16" i="4"/>
  <c r="P16" i="4"/>
  <c r="S16" i="4"/>
  <c r="R16" i="4"/>
  <c r="O16" i="3"/>
  <c r="S16" i="3"/>
  <c r="M16" i="3"/>
  <c r="R16" i="3"/>
  <c r="P16" i="3"/>
  <c r="U16" i="3"/>
  <c r="L16" i="6"/>
  <c r="M16" i="2"/>
  <c r="S16" i="2"/>
  <c r="R16" i="2"/>
  <c r="P16" i="2"/>
  <c r="T15" i="2"/>
  <c r="Q15" i="2"/>
  <c r="N15" i="2"/>
  <c r="U16" i="6" l="1"/>
  <c r="S16" i="6"/>
  <c r="M16" i="6"/>
  <c r="O16" i="6"/>
  <c r="P16" i="6"/>
  <c r="N16" i="6"/>
  <c r="T16" i="6"/>
  <c r="R16" i="6"/>
  <c r="Q16" i="6"/>
  <c r="W15" i="6"/>
  <c r="D15" i="6"/>
  <c r="C15" i="6"/>
  <c r="B15" i="6"/>
  <c r="E15" i="5"/>
  <c r="G15" i="5" s="1"/>
  <c r="E15" i="4"/>
  <c r="F15" i="4" s="1"/>
  <c r="E15" i="3"/>
  <c r="V15" i="3" s="1"/>
  <c r="E15" i="2"/>
  <c r="F15" i="2" s="1"/>
  <c r="E15" i="6" l="1"/>
  <c r="V15" i="5"/>
  <c r="G15" i="4"/>
  <c r="V15" i="4"/>
  <c r="G15" i="3"/>
  <c r="V15" i="2"/>
  <c r="G15" i="2"/>
  <c r="T14" i="5"/>
  <c r="Q14" i="5"/>
  <c r="N14" i="5"/>
  <c r="F14" i="5"/>
  <c r="N14" i="3"/>
  <c r="F14" i="3"/>
  <c r="T14" i="2"/>
  <c r="O14" i="2"/>
  <c r="N14" i="2"/>
  <c r="F14" i="2"/>
  <c r="H15" i="5" l="1"/>
  <c r="H15" i="4"/>
  <c r="F15" i="6"/>
  <c r="H15" i="2"/>
  <c r="G15" i="6"/>
  <c r="V15" i="6"/>
  <c r="H15" i="3"/>
  <c r="W14" i="6"/>
  <c r="D14" i="6"/>
  <c r="C14" i="6"/>
  <c r="B14" i="6"/>
  <c r="E14" i="5"/>
  <c r="V14" i="5" s="1"/>
  <c r="E14" i="4"/>
  <c r="E14" i="3"/>
  <c r="G14" i="3" s="1"/>
  <c r="E14" i="2"/>
  <c r="V14" i="4" l="1"/>
  <c r="F14" i="4"/>
  <c r="I15" i="5"/>
  <c r="I15" i="4"/>
  <c r="I15" i="3"/>
  <c r="J15" i="3" s="1"/>
  <c r="I15" i="2"/>
  <c r="H15" i="6"/>
  <c r="K15" i="3"/>
  <c r="E14" i="6"/>
  <c r="G14" i="5"/>
  <c r="G14" i="4"/>
  <c r="V14" i="3"/>
  <c r="H14" i="3"/>
  <c r="V14" i="2"/>
  <c r="G14" i="2"/>
  <c r="T13" i="5"/>
  <c r="Q13" i="5"/>
  <c r="O13" i="5"/>
  <c r="N13" i="5"/>
  <c r="T13" i="3"/>
  <c r="Q13" i="3"/>
  <c r="O13" i="3"/>
  <c r="N13" i="3"/>
  <c r="F13" i="3"/>
  <c r="T13" i="2"/>
  <c r="O13" i="2"/>
  <c r="N13" i="2"/>
  <c r="W13" i="6"/>
  <c r="D13" i="6"/>
  <c r="C13" i="6"/>
  <c r="B13" i="6"/>
  <c r="E13" i="5"/>
  <c r="V13" i="5" s="1"/>
  <c r="E13" i="4"/>
  <c r="V13" i="4" s="1"/>
  <c r="E13" i="3"/>
  <c r="E13" i="2"/>
  <c r="G13" i="2" s="1"/>
  <c r="F13" i="4" l="1"/>
  <c r="K15" i="5"/>
  <c r="J15" i="5"/>
  <c r="K15" i="4"/>
  <c r="J15" i="4"/>
  <c r="L15" i="3"/>
  <c r="S15" i="3" s="1"/>
  <c r="I15" i="6"/>
  <c r="K15" i="2"/>
  <c r="J15" i="2"/>
  <c r="U15" i="3"/>
  <c r="R15" i="3"/>
  <c r="P15" i="3"/>
  <c r="M15" i="3"/>
  <c r="H14" i="4"/>
  <c r="I14" i="3"/>
  <c r="G14" i="6"/>
  <c r="H14" i="2"/>
  <c r="F14" i="6"/>
  <c r="V14" i="6"/>
  <c r="H14" i="5"/>
  <c r="K14" i="3"/>
  <c r="J14" i="3"/>
  <c r="F13" i="5"/>
  <c r="E13" i="6"/>
  <c r="F13" i="2"/>
  <c r="G13" i="5"/>
  <c r="G13" i="4"/>
  <c r="G13" i="3"/>
  <c r="V13" i="3"/>
  <c r="V13" i="2"/>
  <c r="T12" i="5"/>
  <c r="R12" i="5"/>
  <c r="Q12" i="5"/>
  <c r="O12" i="5"/>
  <c r="N12" i="5"/>
  <c r="F12" i="5"/>
  <c r="T12" i="3"/>
  <c r="O12" i="3"/>
  <c r="F12" i="3"/>
  <c r="T12" i="2"/>
  <c r="Q12" i="2"/>
  <c r="O12" i="2"/>
  <c r="N12" i="2"/>
  <c r="F12" i="2"/>
  <c r="L15" i="5" l="1"/>
  <c r="L15" i="4"/>
  <c r="L15" i="2"/>
  <c r="J15" i="6"/>
  <c r="K15" i="6"/>
  <c r="I14" i="5"/>
  <c r="J14" i="5" s="1"/>
  <c r="I14" i="4"/>
  <c r="L14" i="3"/>
  <c r="I14" i="2"/>
  <c r="H14" i="6"/>
  <c r="K14" i="5"/>
  <c r="S14" i="3"/>
  <c r="R14" i="3"/>
  <c r="P14" i="3"/>
  <c r="U14" i="3"/>
  <c r="M14" i="3"/>
  <c r="H13" i="5"/>
  <c r="H13" i="4"/>
  <c r="H13" i="3"/>
  <c r="G13" i="6"/>
  <c r="V13" i="6"/>
  <c r="F13" i="6"/>
  <c r="H13" i="2"/>
  <c r="W12" i="6"/>
  <c r="D12" i="6"/>
  <c r="C12" i="6"/>
  <c r="B12" i="6"/>
  <c r="E12" i="5"/>
  <c r="E12" i="4"/>
  <c r="V12" i="4" s="1"/>
  <c r="E12" i="3"/>
  <c r="G12" i="3" s="1"/>
  <c r="E12" i="2"/>
  <c r="V12" i="2" s="1"/>
  <c r="N15" i="4" l="1"/>
  <c r="O15" i="4"/>
  <c r="Q15" i="5"/>
  <c r="O15" i="5"/>
  <c r="M15" i="5"/>
  <c r="P15" i="5"/>
  <c r="S15" i="5"/>
  <c r="R15" i="5"/>
  <c r="T15" i="4"/>
  <c r="Q15" i="4"/>
  <c r="U15" i="4"/>
  <c r="P15" i="4"/>
  <c r="R15" i="4"/>
  <c r="M15" i="4"/>
  <c r="S15" i="4"/>
  <c r="O15" i="2"/>
  <c r="L15" i="6"/>
  <c r="P15" i="2"/>
  <c r="S15" i="2"/>
  <c r="M15" i="2"/>
  <c r="R15" i="2"/>
  <c r="L14" i="5"/>
  <c r="U14" i="5" s="1"/>
  <c r="K14" i="4"/>
  <c r="J14" i="4"/>
  <c r="Q14" i="3"/>
  <c r="T14" i="3"/>
  <c r="O14" i="3"/>
  <c r="I14" i="6"/>
  <c r="J14" i="2"/>
  <c r="K14" i="2"/>
  <c r="S14" i="5"/>
  <c r="R14" i="5"/>
  <c r="P14" i="5"/>
  <c r="M14" i="5"/>
  <c r="I13" i="5"/>
  <c r="I13" i="4"/>
  <c r="I13" i="3"/>
  <c r="I13" i="2"/>
  <c r="H13" i="6"/>
  <c r="E12" i="6"/>
  <c r="V12" i="5"/>
  <c r="G12" i="5"/>
  <c r="F12" i="4"/>
  <c r="G12" i="4"/>
  <c r="V12" i="3"/>
  <c r="H12" i="3"/>
  <c r="G12" i="2"/>
  <c r="U15" i="6" l="1"/>
  <c r="S15" i="6"/>
  <c r="M15" i="6"/>
  <c r="Q15" i="6"/>
  <c r="T15" i="6"/>
  <c r="R15" i="6"/>
  <c r="P15" i="6"/>
  <c r="N15" i="6"/>
  <c r="O15" i="6"/>
  <c r="O14" i="5"/>
  <c r="L14" i="4"/>
  <c r="K14" i="6"/>
  <c r="J14" i="6"/>
  <c r="L14" i="2"/>
  <c r="K13" i="5"/>
  <c r="J13" i="5"/>
  <c r="K13" i="4"/>
  <c r="J13" i="4"/>
  <c r="J13" i="3"/>
  <c r="K13" i="3"/>
  <c r="I13" i="6"/>
  <c r="K13" i="2"/>
  <c r="J13" i="2"/>
  <c r="V12" i="6"/>
  <c r="I12" i="3"/>
  <c r="F12" i="6"/>
  <c r="G12" i="6"/>
  <c r="H12" i="5"/>
  <c r="H12" i="4"/>
  <c r="K12" i="3"/>
  <c r="J12" i="3"/>
  <c r="H12" i="2"/>
  <c r="O11" i="5"/>
  <c r="N11" i="5"/>
  <c r="F11" i="5"/>
  <c r="N11" i="3"/>
  <c r="F11" i="3"/>
  <c r="T11" i="2"/>
  <c r="Q11" i="2"/>
  <c r="O11" i="2"/>
  <c r="N11" i="2"/>
  <c r="O14" i="4" l="1"/>
  <c r="N14" i="4"/>
  <c r="T14" i="4"/>
  <c r="Q14" i="4"/>
  <c r="U14" i="4"/>
  <c r="S14" i="4"/>
  <c r="P14" i="4"/>
  <c r="M14" i="4"/>
  <c r="R14" i="4"/>
  <c r="S14" i="2"/>
  <c r="L14" i="6"/>
  <c r="Q14" i="2"/>
  <c r="M14" i="2"/>
  <c r="P14" i="2"/>
  <c r="R14" i="2"/>
  <c r="L13" i="5"/>
  <c r="L13" i="4"/>
  <c r="L13" i="3"/>
  <c r="K13" i="6"/>
  <c r="J13" i="6"/>
  <c r="L13" i="2"/>
  <c r="I12" i="5"/>
  <c r="J12" i="5" s="1"/>
  <c r="I12" i="4"/>
  <c r="K12" i="4" s="1"/>
  <c r="I12" i="2"/>
  <c r="H12" i="6"/>
  <c r="K12" i="5"/>
  <c r="L12" i="3"/>
  <c r="W11" i="6"/>
  <c r="D11" i="6"/>
  <c r="C11" i="6"/>
  <c r="B11" i="6"/>
  <c r="E11" i="5"/>
  <c r="G11" i="5" s="1"/>
  <c r="E11" i="4"/>
  <c r="V11" i="4" s="1"/>
  <c r="E11" i="3"/>
  <c r="V11" i="3" s="1"/>
  <c r="E11" i="2"/>
  <c r="J12" i="4" l="1"/>
  <c r="T13" i="4"/>
  <c r="Q13" i="4"/>
  <c r="N13" i="4"/>
  <c r="U14" i="6"/>
  <c r="R14" i="6"/>
  <c r="N14" i="6"/>
  <c r="Q14" i="6"/>
  <c r="O14" i="6"/>
  <c r="M14" i="6"/>
  <c r="T14" i="6"/>
  <c r="P14" i="6"/>
  <c r="S14" i="6"/>
  <c r="U13" i="5"/>
  <c r="P13" i="5"/>
  <c r="S13" i="5"/>
  <c r="M13" i="5"/>
  <c r="R13" i="5"/>
  <c r="O13" i="4"/>
  <c r="S13" i="4"/>
  <c r="R13" i="4"/>
  <c r="M13" i="4"/>
  <c r="U13" i="4"/>
  <c r="P13" i="4"/>
  <c r="M13" i="3"/>
  <c r="S13" i="3"/>
  <c r="U13" i="3"/>
  <c r="R13" i="3"/>
  <c r="P13" i="3"/>
  <c r="L13" i="6"/>
  <c r="Q13" i="2"/>
  <c r="M13" i="2"/>
  <c r="R13" i="2"/>
  <c r="P13" i="2"/>
  <c r="S13" i="2"/>
  <c r="L12" i="5"/>
  <c r="L12" i="4"/>
  <c r="N12" i="3"/>
  <c r="I12" i="6"/>
  <c r="K12" i="2"/>
  <c r="J12" i="2"/>
  <c r="S12" i="5"/>
  <c r="U12" i="5"/>
  <c r="P12" i="5"/>
  <c r="M12" i="5"/>
  <c r="P12" i="4"/>
  <c r="M12" i="4"/>
  <c r="U12" i="3"/>
  <c r="R12" i="3"/>
  <c r="Q12" i="3"/>
  <c r="P12" i="3"/>
  <c r="M12" i="3"/>
  <c r="S12" i="3"/>
  <c r="F11" i="4"/>
  <c r="E11" i="6"/>
  <c r="V11" i="5"/>
  <c r="H11" i="5"/>
  <c r="G11" i="4"/>
  <c r="G11" i="3"/>
  <c r="V11" i="2"/>
  <c r="F11" i="2"/>
  <c r="G11" i="2"/>
  <c r="T12" i="4" l="1"/>
  <c r="Q12" i="4"/>
  <c r="O12" i="4"/>
  <c r="N12" i="4"/>
  <c r="S12" i="4"/>
  <c r="R12" i="4"/>
  <c r="U12" i="4"/>
  <c r="U12" i="6" s="1"/>
  <c r="U13" i="6"/>
  <c r="P13" i="6"/>
  <c r="R13" i="6"/>
  <c r="M13" i="6"/>
  <c r="Q13" i="6"/>
  <c r="S13" i="6"/>
  <c r="O13" i="6"/>
  <c r="T13" i="6"/>
  <c r="N13" i="6"/>
  <c r="J12" i="6"/>
  <c r="L12" i="2"/>
  <c r="K12" i="6"/>
  <c r="I11" i="5"/>
  <c r="K11" i="5" s="1"/>
  <c r="H11" i="4"/>
  <c r="F11" i="6"/>
  <c r="G11" i="6"/>
  <c r="V11" i="6"/>
  <c r="H11" i="3"/>
  <c r="H11" i="2"/>
  <c r="T10" i="5"/>
  <c r="O10" i="5"/>
  <c r="F10" i="5"/>
  <c r="O10" i="3"/>
  <c r="N10" i="3"/>
  <c r="F10" i="3"/>
  <c r="T10" i="2"/>
  <c r="Q10" i="2"/>
  <c r="O10" i="2"/>
  <c r="N10" i="2"/>
  <c r="S12" i="2" l="1"/>
  <c r="L12" i="6"/>
  <c r="P12" i="2"/>
  <c r="M12" i="2"/>
  <c r="R12" i="2"/>
  <c r="J11" i="5"/>
  <c r="I11" i="4"/>
  <c r="I11" i="3"/>
  <c r="K11" i="3" s="1"/>
  <c r="I11" i="2"/>
  <c r="H11" i="6"/>
  <c r="J11" i="3"/>
  <c r="J11" i="2"/>
  <c r="W10" i="6"/>
  <c r="D10" i="6"/>
  <c r="C10" i="6"/>
  <c r="B10" i="6"/>
  <c r="E10" i="5"/>
  <c r="E10" i="4"/>
  <c r="E10" i="3"/>
  <c r="G10" i="3" s="1"/>
  <c r="E10" i="2"/>
  <c r="V10" i="4" l="1"/>
  <c r="F10" i="4"/>
  <c r="M12" i="6"/>
  <c r="P12" i="6"/>
  <c r="N12" i="6"/>
  <c r="Q12" i="6"/>
  <c r="R12" i="6"/>
  <c r="T12" i="6"/>
  <c r="O12" i="6"/>
  <c r="S12" i="6"/>
  <c r="L11" i="5"/>
  <c r="U11" i="5" s="1"/>
  <c r="J11" i="4"/>
  <c r="K11" i="4"/>
  <c r="L11" i="3"/>
  <c r="J11" i="6"/>
  <c r="K11" i="2"/>
  <c r="I11" i="6"/>
  <c r="S11" i="3"/>
  <c r="U11" i="3"/>
  <c r="P11" i="3"/>
  <c r="Q11" i="3"/>
  <c r="R11" i="3"/>
  <c r="T11" i="3"/>
  <c r="M11" i="3"/>
  <c r="E10" i="6"/>
  <c r="F10" i="2"/>
  <c r="G10" i="5"/>
  <c r="V10" i="5"/>
  <c r="G10" i="4"/>
  <c r="V10" i="3"/>
  <c r="V10" i="2"/>
  <c r="G10" i="2"/>
  <c r="T11" i="5" l="1"/>
  <c r="M11" i="5"/>
  <c r="P11" i="5"/>
  <c r="Q11" i="5"/>
  <c r="R11" i="5"/>
  <c r="S11" i="5"/>
  <c r="L11" i="4"/>
  <c r="O11" i="3"/>
  <c r="K11" i="6"/>
  <c r="L11" i="2"/>
  <c r="H10" i="5"/>
  <c r="H10" i="3"/>
  <c r="G10" i="6"/>
  <c r="F10" i="6"/>
  <c r="V10" i="6"/>
  <c r="H10" i="4"/>
  <c r="H10" i="2"/>
  <c r="T9" i="5"/>
  <c r="Q9" i="5"/>
  <c r="O9" i="5"/>
  <c r="N9" i="5"/>
  <c r="F9" i="5"/>
  <c r="O9" i="3"/>
  <c r="N9" i="3"/>
  <c r="T11" i="4" l="1"/>
  <c r="O11" i="4"/>
  <c r="N11" i="4"/>
  <c r="U11" i="4"/>
  <c r="Q11" i="4"/>
  <c r="M11" i="4"/>
  <c r="S11" i="4"/>
  <c r="R11" i="4"/>
  <c r="P11" i="4"/>
  <c r="L11" i="6"/>
  <c r="M11" i="2"/>
  <c r="R11" i="2"/>
  <c r="P11" i="2"/>
  <c r="S11" i="2"/>
  <c r="I10" i="5"/>
  <c r="I10" i="4"/>
  <c r="J10" i="4" s="1"/>
  <c r="I10" i="3"/>
  <c r="I10" i="2"/>
  <c r="H10" i="6"/>
  <c r="J10" i="2"/>
  <c r="T9" i="2"/>
  <c r="Q9" i="2"/>
  <c r="O9" i="2"/>
  <c r="N9" i="2"/>
  <c r="F9" i="2"/>
  <c r="K10" i="4" l="1"/>
  <c r="U11" i="6"/>
  <c r="M11" i="6"/>
  <c r="R11" i="6"/>
  <c r="T11" i="6"/>
  <c r="S11" i="6"/>
  <c r="Q11" i="6"/>
  <c r="P11" i="6"/>
  <c r="N11" i="6"/>
  <c r="O11" i="6"/>
  <c r="K10" i="5"/>
  <c r="J10" i="5"/>
  <c r="L10" i="4"/>
  <c r="K10" i="3"/>
  <c r="J10" i="3"/>
  <c r="J10" i="6" s="1"/>
  <c r="K10" i="2"/>
  <c r="I10" i="6"/>
  <c r="W9" i="6"/>
  <c r="D9" i="6"/>
  <c r="C9" i="6"/>
  <c r="B9" i="6"/>
  <c r="E9" i="5"/>
  <c r="V9" i="5" s="1"/>
  <c r="E9" i="4"/>
  <c r="V9" i="4" s="1"/>
  <c r="E9" i="3"/>
  <c r="V9" i="3" s="1"/>
  <c r="E9" i="2"/>
  <c r="M10" i="4" l="1"/>
  <c r="O10" i="4"/>
  <c r="N10" i="4"/>
  <c r="S10" i="4"/>
  <c r="P10" i="4"/>
  <c r="R10" i="4"/>
  <c r="U10" i="4"/>
  <c r="L10" i="5"/>
  <c r="Q10" i="4"/>
  <c r="T10" i="4"/>
  <c r="L10" i="3"/>
  <c r="K10" i="6"/>
  <c r="L10" i="2"/>
  <c r="F9" i="4"/>
  <c r="E9" i="6"/>
  <c r="G9" i="5"/>
  <c r="G9" i="4"/>
  <c r="F9" i="3"/>
  <c r="G9" i="3"/>
  <c r="G9" i="2"/>
  <c r="V9" i="2"/>
  <c r="T8" i="5"/>
  <c r="Q8" i="5"/>
  <c r="O8" i="5"/>
  <c r="N8" i="5"/>
  <c r="T8" i="3"/>
  <c r="O8" i="3"/>
  <c r="T8" i="2"/>
  <c r="Q8" i="2"/>
  <c r="O8" i="2"/>
  <c r="N8" i="2"/>
  <c r="F8" i="2"/>
  <c r="U10" i="5" l="1"/>
  <c r="Q10" i="5"/>
  <c r="N10" i="5"/>
  <c r="P10" i="5"/>
  <c r="S10" i="5"/>
  <c r="R10" i="5"/>
  <c r="M10" i="5"/>
  <c r="T10" i="3"/>
  <c r="S10" i="3"/>
  <c r="R10" i="3"/>
  <c r="Q10" i="3"/>
  <c r="P10" i="3"/>
  <c r="M10" i="3"/>
  <c r="U10" i="3"/>
  <c r="L10" i="6"/>
  <c r="S10" i="2"/>
  <c r="M10" i="2"/>
  <c r="R10" i="2"/>
  <c r="P10" i="2"/>
  <c r="H9" i="4"/>
  <c r="V9" i="6"/>
  <c r="G9" i="6"/>
  <c r="F9" i="6"/>
  <c r="H9" i="2"/>
  <c r="H9" i="5"/>
  <c r="H9" i="3"/>
  <c r="W8" i="6"/>
  <c r="D8" i="6"/>
  <c r="C8" i="6"/>
  <c r="B8" i="6"/>
  <c r="E8" i="5"/>
  <c r="V8" i="5" s="1"/>
  <c r="E8" i="4"/>
  <c r="E8" i="3"/>
  <c r="V8" i="3" s="1"/>
  <c r="A8" i="2"/>
  <c r="A9" i="2" s="1"/>
  <c r="E8" i="2"/>
  <c r="A8" i="6" l="1"/>
  <c r="V8" i="4"/>
  <c r="F8" i="4"/>
  <c r="A8" i="4"/>
  <c r="A8" i="5"/>
  <c r="A10" i="2"/>
  <c r="A9" i="6"/>
  <c r="A9" i="5"/>
  <c r="A9" i="3"/>
  <c r="A9" i="4"/>
  <c r="A8" i="3"/>
  <c r="U10" i="6"/>
  <c r="M10" i="6"/>
  <c r="P10" i="6"/>
  <c r="N10" i="6"/>
  <c r="T10" i="6"/>
  <c r="R10" i="6"/>
  <c r="S10" i="6"/>
  <c r="O10" i="6"/>
  <c r="Q10" i="6"/>
  <c r="I9" i="5"/>
  <c r="K9" i="5" s="1"/>
  <c r="I9" i="4"/>
  <c r="I9" i="3"/>
  <c r="J9" i="3" s="1"/>
  <c r="I9" i="2"/>
  <c r="H9" i="6"/>
  <c r="K9" i="3"/>
  <c r="F8" i="5"/>
  <c r="E8" i="6"/>
  <c r="F8" i="3"/>
  <c r="G8" i="5"/>
  <c r="G8" i="4"/>
  <c r="G8" i="3"/>
  <c r="V8" i="2"/>
  <c r="G8" i="2"/>
  <c r="O7" i="5"/>
  <c r="F7" i="5"/>
  <c r="T7" i="3"/>
  <c r="Q7" i="3"/>
  <c r="O7" i="3"/>
  <c r="N7" i="3"/>
  <c r="F7" i="3"/>
  <c r="A11" i="2" l="1"/>
  <c r="A10" i="6"/>
  <c r="A10" i="4"/>
  <c r="A10" i="5"/>
  <c r="A10" i="3"/>
  <c r="J9" i="5"/>
  <c r="L9" i="5" s="1"/>
  <c r="K9" i="4"/>
  <c r="J9" i="4"/>
  <c r="L9" i="3"/>
  <c r="I9" i="6"/>
  <c r="K9" i="2"/>
  <c r="J9" i="2"/>
  <c r="U9" i="3"/>
  <c r="R9" i="3"/>
  <c r="P9" i="3"/>
  <c r="M9" i="3"/>
  <c r="S9" i="3"/>
  <c r="Q9" i="3"/>
  <c r="H8" i="5"/>
  <c r="I8" i="5"/>
  <c r="K8" i="5" s="1"/>
  <c r="H8" i="4"/>
  <c r="G8" i="6"/>
  <c r="V8" i="6"/>
  <c r="H8" i="2"/>
  <c r="F8" i="6"/>
  <c r="J8" i="5"/>
  <c r="H8" i="3"/>
  <c r="O7" i="2"/>
  <c r="N7" i="2"/>
  <c r="A12" i="2" l="1"/>
  <c r="A11" i="5"/>
  <c r="A11" i="4"/>
  <c r="A11" i="3"/>
  <c r="A11" i="6"/>
  <c r="U9" i="5"/>
  <c r="S9" i="5"/>
  <c r="R9" i="5"/>
  <c r="P9" i="5"/>
  <c r="M9" i="5"/>
  <c r="L9" i="4"/>
  <c r="T9" i="3"/>
  <c r="K9" i="6"/>
  <c r="J9" i="6"/>
  <c r="L9" i="2"/>
  <c r="I8" i="4"/>
  <c r="I8" i="3"/>
  <c r="I8" i="2"/>
  <c r="H8" i="6"/>
  <c r="L8" i="5"/>
  <c r="W7" i="6"/>
  <c r="D7" i="6"/>
  <c r="C7" i="6"/>
  <c r="B7" i="6"/>
  <c r="A7" i="6"/>
  <c r="E7" i="5"/>
  <c r="V7" i="5" s="1"/>
  <c r="A7" i="5"/>
  <c r="E7" i="4"/>
  <c r="A7" i="4"/>
  <c r="E7" i="3"/>
  <c r="V7" i="3" s="1"/>
  <c r="A7" i="3"/>
  <c r="E7" i="2"/>
  <c r="V7" i="4" l="1"/>
  <c r="F7" i="4"/>
  <c r="O9" i="4"/>
  <c r="Q9" i="4"/>
  <c r="N9" i="4"/>
  <c r="T9" i="4"/>
  <c r="A13" i="2"/>
  <c r="A12" i="6"/>
  <c r="A12" i="5"/>
  <c r="A12" i="4"/>
  <c r="A12" i="3"/>
  <c r="R9" i="4"/>
  <c r="M9" i="4"/>
  <c r="U9" i="4"/>
  <c r="P9" i="4"/>
  <c r="S9" i="4"/>
  <c r="L9" i="6"/>
  <c r="P9" i="2"/>
  <c r="S9" i="2"/>
  <c r="R9" i="2"/>
  <c r="M9" i="2"/>
  <c r="K8" i="4"/>
  <c r="J8" i="4"/>
  <c r="J8" i="3"/>
  <c r="K8" i="3"/>
  <c r="I8" i="6"/>
  <c r="J8" i="2"/>
  <c r="K8" i="2"/>
  <c r="S8" i="5"/>
  <c r="R8" i="5"/>
  <c r="P8" i="5"/>
  <c r="U8" i="5"/>
  <c r="M8" i="5"/>
  <c r="E7" i="6"/>
  <c r="G7" i="5"/>
  <c r="G7" i="4"/>
  <c r="G7" i="3"/>
  <c r="V7" i="2"/>
  <c r="F7" i="2"/>
  <c r="G7" i="2"/>
  <c r="A14" i="2" l="1"/>
  <c r="A13" i="6"/>
  <c r="A13" i="5"/>
  <c r="A13" i="4"/>
  <c r="A13" i="3"/>
  <c r="U9" i="6"/>
  <c r="S9" i="6"/>
  <c r="N9" i="6"/>
  <c r="R9" i="6"/>
  <c r="O9" i="6"/>
  <c r="T9" i="6"/>
  <c r="M9" i="6"/>
  <c r="P9" i="6"/>
  <c r="Q9" i="6"/>
  <c r="L8" i="4"/>
  <c r="L8" i="3"/>
  <c r="K8" i="6"/>
  <c r="J8" i="6"/>
  <c r="L8" i="2"/>
  <c r="G7" i="6"/>
  <c r="F7" i="6"/>
  <c r="V7" i="6"/>
  <c r="H7" i="5"/>
  <c r="H7" i="4"/>
  <c r="H7" i="3"/>
  <c r="H7" i="2"/>
  <c r="T6" i="5"/>
  <c r="Q6" i="5"/>
  <c r="O6" i="5"/>
  <c r="T6" i="3"/>
  <c r="N6" i="5"/>
  <c r="N6" i="3"/>
  <c r="T8" i="4" l="1"/>
  <c r="N8" i="4"/>
  <c r="Q8" i="4"/>
  <c r="O8" i="4"/>
  <c r="A15" i="2"/>
  <c r="A14" i="3"/>
  <c r="A14" i="6"/>
  <c r="A14" i="5"/>
  <c r="A14" i="4"/>
  <c r="U8" i="4"/>
  <c r="S8" i="4"/>
  <c r="P8" i="4"/>
  <c r="M8" i="4"/>
  <c r="R8" i="4"/>
  <c r="N8" i="3"/>
  <c r="Q8" i="3"/>
  <c r="S8" i="3"/>
  <c r="U8" i="3"/>
  <c r="P8" i="3"/>
  <c r="M8" i="3"/>
  <c r="R8" i="3"/>
  <c r="L8" i="6"/>
  <c r="S8" i="2"/>
  <c r="M8" i="2"/>
  <c r="R8" i="2"/>
  <c r="P8" i="2"/>
  <c r="I7" i="5"/>
  <c r="J7" i="5" s="1"/>
  <c r="I7" i="4"/>
  <c r="K7" i="4" s="1"/>
  <c r="I7" i="3"/>
  <c r="I7" i="2"/>
  <c r="H7" i="6"/>
  <c r="K7" i="5"/>
  <c r="J7" i="2"/>
  <c r="J7" i="4" l="1"/>
  <c r="A16" i="2"/>
  <c r="A15" i="6"/>
  <c r="A15" i="3"/>
  <c r="A15" i="5"/>
  <c r="A15" i="4"/>
  <c r="U8" i="6"/>
  <c r="T8" i="6"/>
  <c r="P8" i="6"/>
  <c r="S8" i="6"/>
  <c r="R8" i="6"/>
  <c r="M8" i="6"/>
  <c r="N8" i="6"/>
  <c r="Q8" i="6"/>
  <c r="O8" i="6"/>
  <c r="L7" i="5"/>
  <c r="L7" i="4"/>
  <c r="R7" i="4" s="1"/>
  <c r="K7" i="3"/>
  <c r="J7" i="3"/>
  <c r="J7" i="6" s="1"/>
  <c r="K7" i="2"/>
  <c r="I7" i="6"/>
  <c r="S7" i="5"/>
  <c r="P7" i="5"/>
  <c r="R7" i="5"/>
  <c r="U7" i="5"/>
  <c r="P7" i="4"/>
  <c r="M7" i="4"/>
  <c r="D60" i="4"/>
  <c r="S7" i="4" l="1"/>
  <c r="Q7" i="4"/>
  <c r="O7" i="4"/>
  <c r="T7" i="4"/>
  <c r="N7" i="4"/>
  <c r="A17" i="2"/>
  <c r="A16" i="4"/>
  <c r="A16" i="6"/>
  <c r="A16" i="5"/>
  <c r="A16" i="3"/>
  <c r="M7" i="5"/>
  <c r="T7" i="5"/>
  <c r="Q7" i="5"/>
  <c r="N7" i="5"/>
  <c r="U7" i="4"/>
  <c r="L7" i="3"/>
  <c r="K7" i="6"/>
  <c r="L7" i="2"/>
  <c r="C60" i="5"/>
  <c r="D60" i="5"/>
  <c r="C60" i="4"/>
  <c r="C60" i="3"/>
  <c r="D60" i="3"/>
  <c r="C60" i="2"/>
  <c r="D60" i="2"/>
  <c r="A18" i="2" l="1"/>
  <c r="A17" i="6"/>
  <c r="A17" i="5"/>
  <c r="A17" i="4"/>
  <c r="A17" i="3"/>
  <c r="U7" i="3"/>
  <c r="M7" i="3"/>
  <c r="S7" i="3"/>
  <c r="R7" i="3"/>
  <c r="P7" i="3"/>
  <c r="L7" i="6"/>
  <c r="R7" i="2"/>
  <c r="Q7" i="2"/>
  <c r="S7" i="2"/>
  <c r="M7" i="2"/>
  <c r="P7" i="2"/>
  <c r="T7" i="2"/>
  <c r="D14" i="7"/>
  <c r="A19" i="2" l="1"/>
  <c r="A18" i="3"/>
  <c r="A18" i="4"/>
  <c r="A18" i="6"/>
  <c r="A18" i="5"/>
  <c r="U7" i="6"/>
  <c r="T7" i="6"/>
  <c r="S7" i="6"/>
  <c r="Q7" i="6"/>
  <c r="P7" i="6"/>
  <c r="N7" i="6"/>
  <c r="O7" i="6"/>
  <c r="M7" i="6"/>
  <c r="R7" i="6"/>
  <c r="A6" i="6"/>
  <c r="E6" i="5"/>
  <c r="A6" i="5"/>
  <c r="E6" i="3"/>
  <c r="E6" i="4"/>
  <c r="A6" i="4"/>
  <c r="A6" i="3"/>
  <c r="E6" i="2"/>
  <c r="A20" i="2" l="1"/>
  <c r="A19" i="6"/>
  <c r="A19" i="5"/>
  <c r="A19" i="4"/>
  <c r="A19" i="3"/>
  <c r="F6" i="5"/>
  <c r="F6" i="4"/>
  <c r="F6" i="3"/>
  <c r="F6" i="2"/>
  <c r="E60" i="3"/>
  <c r="E60" i="2"/>
  <c r="E60" i="5"/>
  <c r="E60" i="4"/>
  <c r="E18" i="7" s="1"/>
  <c r="A21" i="2" l="1"/>
  <c r="A20" i="6"/>
  <c r="A20" i="4"/>
  <c r="A20" i="5"/>
  <c r="A20" i="3"/>
  <c r="F60" i="5"/>
  <c r="F20" i="7" s="1"/>
  <c r="F60" i="4"/>
  <c r="F18" i="7" s="1"/>
  <c r="F60" i="3"/>
  <c r="F16" i="7" s="1"/>
  <c r="F60" i="2"/>
  <c r="F14" i="7" s="1"/>
  <c r="G6" i="5"/>
  <c r="G6" i="4"/>
  <c r="G6" i="3"/>
  <c r="V6" i="2"/>
  <c r="V6" i="5"/>
  <c r="V6" i="4"/>
  <c r="G6" i="2"/>
  <c r="V6" i="3"/>
  <c r="A22" i="2" l="1"/>
  <c r="A21" i="6"/>
  <c r="A21" i="5"/>
  <c r="A21" i="3"/>
  <c r="A21" i="4"/>
  <c r="G60" i="5"/>
  <c r="G20" i="7" s="1"/>
  <c r="G60" i="4"/>
  <c r="G18" i="7" s="1"/>
  <c r="G60" i="3"/>
  <c r="G60" i="2"/>
  <c r="H6" i="5"/>
  <c r="H6" i="4"/>
  <c r="H6" i="3"/>
  <c r="H6" i="2"/>
  <c r="A23" i="2" l="1"/>
  <c r="A22" i="3"/>
  <c r="A22" i="6"/>
  <c r="A22" i="5"/>
  <c r="A22" i="4"/>
  <c r="H60" i="5"/>
  <c r="H20" i="7" s="1"/>
  <c r="H60" i="4"/>
  <c r="H60" i="3"/>
  <c r="H60" i="2"/>
  <c r="I6" i="5"/>
  <c r="I60" i="5" s="1"/>
  <c r="I6" i="4"/>
  <c r="I60" i="4" s="1"/>
  <c r="I6" i="3"/>
  <c r="I60" i="3" s="1"/>
  <c r="I6" i="2"/>
  <c r="A24" i="2" l="1"/>
  <c r="A23" i="5"/>
  <c r="A23" i="4"/>
  <c r="A23" i="3"/>
  <c r="A23" i="6"/>
  <c r="I60" i="2"/>
  <c r="K6" i="5"/>
  <c r="J6" i="5"/>
  <c r="K6" i="4"/>
  <c r="J6" i="4"/>
  <c r="K6" i="3"/>
  <c r="J6" i="3"/>
  <c r="K6" i="2"/>
  <c r="J6" i="2"/>
  <c r="W60" i="5"/>
  <c r="W60" i="4"/>
  <c r="W60" i="3"/>
  <c r="A25" i="2" l="1"/>
  <c r="A24" i="6"/>
  <c r="A24" i="4"/>
  <c r="A24" i="5"/>
  <c r="A24" i="3"/>
  <c r="J60" i="5"/>
  <c r="I20" i="7" s="1"/>
  <c r="K60" i="5"/>
  <c r="J20" i="7" s="1"/>
  <c r="K60" i="4"/>
  <c r="J18" i="7" s="1"/>
  <c r="J60" i="4"/>
  <c r="J60" i="3"/>
  <c r="K60" i="3"/>
  <c r="J60" i="2"/>
  <c r="K60" i="2"/>
  <c r="L6" i="5"/>
  <c r="L6" i="4"/>
  <c r="L6" i="3"/>
  <c r="L6" i="2"/>
  <c r="L36" i="7"/>
  <c r="D20" i="7"/>
  <c r="C20" i="7"/>
  <c r="B60" i="5"/>
  <c r="B20" i="7" s="1"/>
  <c r="L34" i="7"/>
  <c r="D18" i="7"/>
  <c r="C18" i="7"/>
  <c r="B60" i="4"/>
  <c r="B18" i="7" s="1"/>
  <c r="L32" i="7"/>
  <c r="B60" i="3"/>
  <c r="W60" i="2"/>
  <c r="B60" i="2"/>
  <c r="N6" i="4" l="1"/>
  <c r="T6" i="4"/>
  <c r="O6" i="4"/>
  <c r="A26" i="2"/>
  <c r="A25" i="6"/>
  <c r="A25" i="5"/>
  <c r="A25" i="3"/>
  <c r="A25" i="4"/>
  <c r="Q6" i="4"/>
  <c r="O6" i="3"/>
  <c r="N6" i="2"/>
  <c r="O6" i="2"/>
  <c r="Q6" i="3"/>
  <c r="L60" i="5"/>
  <c r="L60" i="4"/>
  <c r="L60" i="3"/>
  <c r="L60" i="2"/>
  <c r="T6" i="2"/>
  <c r="Q6" i="2"/>
  <c r="L30" i="7"/>
  <c r="C16" i="7"/>
  <c r="D16" i="7"/>
  <c r="C14" i="7"/>
  <c r="V60" i="2"/>
  <c r="M6" i="5"/>
  <c r="U6" i="5"/>
  <c r="S6" i="5"/>
  <c r="P6" i="5"/>
  <c r="R6" i="5"/>
  <c r="R6" i="4"/>
  <c r="U6" i="4"/>
  <c r="S6" i="4"/>
  <c r="M6" i="4"/>
  <c r="P6" i="4"/>
  <c r="S6" i="3"/>
  <c r="M6" i="3"/>
  <c r="P6" i="3"/>
  <c r="R6" i="3"/>
  <c r="U6" i="3"/>
  <c r="R6" i="2"/>
  <c r="P6" i="2"/>
  <c r="M6" i="2"/>
  <c r="S6" i="2"/>
  <c r="V60" i="3"/>
  <c r="K32" i="7" s="1"/>
  <c r="E20" i="7"/>
  <c r="A27" i="2" l="1"/>
  <c r="A26" i="4"/>
  <c r="A26" i="3"/>
  <c r="A26" i="6"/>
  <c r="A26" i="5"/>
  <c r="U60" i="5"/>
  <c r="T60" i="5"/>
  <c r="I36" i="7" s="1"/>
  <c r="T60" i="2"/>
  <c r="N60" i="5"/>
  <c r="C36" i="7" s="1"/>
  <c r="O60" i="5"/>
  <c r="D36" i="7" s="1"/>
  <c r="Q60" i="4"/>
  <c r="N60" i="3"/>
  <c r="C32" i="7" s="1"/>
  <c r="O60" i="3"/>
  <c r="D32" i="7" s="1"/>
  <c r="S60" i="5"/>
  <c r="H36" i="7" s="1"/>
  <c r="R60" i="5"/>
  <c r="G36" i="7" s="1"/>
  <c r="M60" i="5"/>
  <c r="B36" i="7" s="1"/>
  <c r="P60" i="5"/>
  <c r="Q60" i="5"/>
  <c r="F36" i="7" s="1"/>
  <c r="P60" i="4"/>
  <c r="E34" i="7" s="1"/>
  <c r="M60" i="4"/>
  <c r="B34" i="7" s="1"/>
  <c r="T60" i="4"/>
  <c r="I34" i="7" s="1"/>
  <c r="S60" i="4"/>
  <c r="H34" i="7" s="1"/>
  <c r="N60" i="4"/>
  <c r="U60" i="4"/>
  <c r="J34" i="7" s="1"/>
  <c r="O60" i="4"/>
  <c r="R60" i="4"/>
  <c r="G34" i="7" s="1"/>
  <c r="M60" i="3"/>
  <c r="U60" i="3"/>
  <c r="J32" i="7" s="1"/>
  <c r="S60" i="3"/>
  <c r="H32" i="7" s="1"/>
  <c r="R60" i="3"/>
  <c r="G32" i="7" s="1"/>
  <c r="Q60" i="3"/>
  <c r="P60" i="3"/>
  <c r="E32" i="7" s="1"/>
  <c r="T60" i="3"/>
  <c r="I32" i="7" s="1"/>
  <c r="S60" i="2"/>
  <c r="H30" i="7" s="1"/>
  <c r="M60" i="2"/>
  <c r="Q60" i="2"/>
  <c r="P60" i="2"/>
  <c r="E30" i="7" s="1"/>
  <c r="N60" i="2"/>
  <c r="C30" i="7" s="1"/>
  <c r="R60" i="2"/>
  <c r="G30" i="7" s="1"/>
  <c r="O60" i="2"/>
  <c r="D30" i="7" s="1"/>
  <c r="K30" i="7"/>
  <c r="E16" i="7"/>
  <c r="E14" i="7"/>
  <c r="V60" i="5"/>
  <c r="K36" i="7" s="1"/>
  <c r="V60" i="4"/>
  <c r="K34" i="7" s="1"/>
  <c r="A28" i="2" l="1"/>
  <c r="A27" i="6"/>
  <c r="A27" i="5"/>
  <c r="A27" i="4"/>
  <c r="A27" i="3"/>
  <c r="F30" i="7"/>
  <c r="G16" i="7"/>
  <c r="G14" i="7"/>
  <c r="H18" i="7"/>
  <c r="A29" i="2" l="1"/>
  <c r="A28" i="6"/>
  <c r="A28" i="5"/>
  <c r="A28" i="4"/>
  <c r="A28" i="3"/>
  <c r="H16" i="7"/>
  <c r="H14" i="7"/>
  <c r="A30" i="2" l="1"/>
  <c r="A29" i="4"/>
  <c r="A29" i="3"/>
  <c r="A29" i="6"/>
  <c r="A29" i="5"/>
  <c r="A31" i="2" l="1"/>
  <c r="A30" i="6"/>
  <c r="A30" i="5"/>
  <c r="A30" i="3"/>
  <c r="A30" i="4"/>
  <c r="J16" i="7"/>
  <c r="I16" i="7"/>
  <c r="I14" i="7"/>
  <c r="J14" i="7"/>
  <c r="K20" i="7"/>
  <c r="K18" i="7"/>
  <c r="A32" i="2" l="1"/>
  <c r="A31" i="6"/>
  <c r="A31" i="5"/>
  <c r="A31" i="4"/>
  <c r="A31" i="3"/>
  <c r="K16" i="7"/>
  <c r="K14" i="7"/>
  <c r="J36" i="7"/>
  <c r="F34" i="7"/>
  <c r="F32" i="7"/>
  <c r="I30" i="7"/>
  <c r="A33" i="2" l="1"/>
  <c r="A32" i="4"/>
  <c r="A32" i="6"/>
  <c r="A32" i="5"/>
  <c r="A32" i="3"/>
  <c r="I6" i="6"/>
  <c r="S6" i="6"/>
  <c r="V6" i="6"/>
  <c r="B6" i="6"/>
  <c r="E6" i="6"/>
  <c r="W6" i="6"/>
  <c r="N6" i="6"/>
  <c r="R6" i="6"/>
  <c r="Q6" i="6"/>
  <c r="U6" i="6"/>
  <c r="F6" i="6"/>
  <c r="P6" i="6"/>
  <c r="J6" i="6"/>
  <c r="T6" i="6"/>
  <c r="M6" i="6"/>
  <c r="G6" i="6"/>
  <c r="C6" i="6"/>
  <c r="H6" i="6"/>
  <c r="L6" i="6"/>
  <c r="D6" i="6"/>
  <c r="O6" i="6"/>
  <c r="K6" i="6"/>
  <c r="L38" i="7" l="1"/>
  <c r="A34" i="2"/>
  <c r="A33" i="5"/>
  <c r="A33" i="4"/>
  <c r="A33" i="3"/>
  <c r="A33" i="6"/>
  <c r="U60" i="6"/>
  <c r="J38" i="7" s="1"/>
  <c r="T60" i="6"/>
  <c r="I38" i="7" s="1"/>
  <c r="C60" i="6"/>
  <c r="G60" i="6"/>
  <c r="G22" i="7" s="1"/>
  <c r="E60" i="6"/>
  <c r="H60" i="6"/>
  <c r="H22" i="7" s="1"/>
  <c r="V60" i="6"/>
  <c r="K38" i="7" s="1"/>
  <c r="N60" i="6"/>
  <c r="P60" i="6"/>
  <c r="K60" i="6"/>
  <c r="J22" i="7" s="1"/>
  <c r="L60" i="6"/>
  <c r="J60" i="6"/>
  <c r="F60" i="6"/>
  <c r="D60" i="6"/>
  <c r="D22" i="7" s="1"/>
  <c r="B60" i="6"/>
  <c r="I60" i="6"/>
  <c r="R60" i="6"/>
  <c r="G38" i="7" s="1"/>
  <c r="S60" i="6"/>
  <c r="H38" i="7" s="1"/>
  <c r="Q60" i="6"/>
  <c r="O60" i="6"/>
  <c r="M60" i="6"/>
  <c r="A35" i="2" l="1"/>
  <c r="A34" i="6"/>
  <c r="A34" i="3"/>
  <c r="A34" i="5"/>
  <c r="A34" i="4"/>
  <c r="A36" i="2" l="1"/>
  <c r="A35" i="4"/>
  <c r="A35" i="6"/>
  <c r="A35" i="3"/>
  <c r="A35" i="5"/>
  <c r="A37" i="2" l="1"/>
  <c r="A36" i="5"/>
  <c r="A36" i="4"/>
  <c r="A36" i="3"/>
  <c r="A36" i="6"/>
  <c r="A38" i="2" l="1"/>
  <c r="A37" i="5"/>
  <c r="A37" i="4"/>
  <c r="A37" i="6"/>
  <c r="A37" i="3"/>
  <c r="A39" i="2" l="1"/>
  <c r="A38" i="6"/>
  <c r="A38" i="4"/>
  <c r="A38" i="3"/>
  <c r="A38" i="5"/>
  <c r="A40" i="2" l="1"/>
  <c r="A39" i="5"/>
  <c r="A39" i="4"/>
  <c r="A39" i="3"/>
  <c r="A39" i="6"/>
  <c r="A41" i="2" l="1"/>
  <c r="A40" i="4"/>
  <c r="A40" i="6"/>
  <c r="A40" i="3"/>
  <c r="A40" i="5"/>
  <c r="A42" i="2" l="1"/>
  <c r="A41" i="5"/>
  <c r="A41" i="4"/>
  <c r="A41" i="3"/>
  <c r="A41" i="6"/>
  <c r="A43" i="2" l="1"/>
  <c r="A42" i="5"/>
  <c r="A42" i="4"/>
  <c r="A42" i="3"/>
  <c r="A42" i="6"/>
  <c r="A44" i="2" l="1"/>
  <c r="A43" i="4"/>
  <c r="A43" i="5"/>
  <c r="A43" i="6"/>
  <c r="A43" i="3"/>
  <c r="A45" i="2" l="1"/>
  <c r="A44" i="6"/>
  <c r="A44" i="3"/>
  <c r="A44" i="5"/>
  <c r="A44" i="4"/>
  <c r="A46" i="2" l="1"/>
  <c r="A45" i="3"/>
  <c r="A45" i="5"/>
  <c r="A45" i="4"/>
  <c r="A45" i="6"/>
  <c r="A47" i="2" l="1"/>
  <c r="A46" i="6"/>
  <c r="A46" i="5"/>
  <c r="A46" i="3"/>
  <c r="A46" i="4"/>
  <c r="A48" i="2" l="1"/>
  <c r="A47" i="6"/>
  <c r="A47" i="5"/>
  <c r="A47" i="4"/>
  <c r="A47" i="3"/>
  <c r="A49" i="2" l="1"/>
  <c r="A48" i="6"/>
  <c r="A48" i="5"/>
  <c r="A48" i="4"/>
  <c r="A48" i="3"/>
  <c r="A50" i="2" l="1"/>
  <c r="A49" i="3"/>
  <c r="A49" i="6"/>
  <c r="A49" i="5"/>
  <c r="A49" i="4"/>
  <c r="A51" i="2" l="1"/>
  <c r="A50" i="6"/>
  <c r="A50" i="5"/>
  <c r="A50" i="4"/>
  <c r="A50" i="3"/>
  <c r="A52" i="2" l="1"/>
  <c r="A51" i="4"/>
  <c r="A51" i="3"/>
  <c r="A51" i="5"/>
  <c r="A51" i="6"/>
  <c r="A53" i="2" l="1"/>
  <c r="A52" i="6"/>
  <c r="A52" i="3"/>
  <c r="A52" i="5"/>
  <c r="A52" i="4"/>
  <c r="A54" i="2" l="1"/>
  <c r="A53" i="6"/>
  <c r="A53" i="3"/>
  <c r="A53" i="5"/>
  <c r="A53" i="4"/>
  <c r="A55" i="2" l="1"/>
  <c r="A54" i="4"/>
  <c r="A54" i="6"/>
  <c r="A54" i="5"/>
  <c r="A54" i="3"/>
  <c r="A56" i="2" l="1"/>
  <c r="A55" i="6"/>
  <c r="A55" i="4"/>
  <c r="A55" i="5"/>
  <c r="A55" i="3"/>
  <c r="A57" i="2" l="1"/>
  <c r="A56" i="3"/>
  <c r="A56" i="4"/>
  <c r="A56" i="6"/>
  <c r="A56" i="5"/>
  <c r="A57" i="6" l="1"/>
  <c r="A57" i="3"/>
  <c r="A57" i="4"/>
  <c r="A57" i="5"/>
</calcChain>
</file>

<file path=xl/sharedStrings.xml><?xml version="1.0" encoding="utf-8"?>
<sst xmlns="http://schemas.openxmlformats.org/spreadsheetml/2006/main" count="223" uniqueCount="56">
  <si>
    <t>WEST VIRGINIA LOTTERY</t>
  </si>
  <si>
    <t>WEEKLY RACETRACK VIDEO LOTTERY SUMMARY</t>
  </si>
  <si>
    <t>REVENUE</t>
  </si>
  <si>
    <t>HOLLYWOOD CASINO AT CHARLES TOWN</t>
  </si>
  <si>
    <t>MARDI GRAS CASINO</t>
  </si>
  <si>
    <t>WHEELING ISLAND CASINO</t>
  </si>
  <si>
    <t>MOUNTAINEER CASINO</t>
  </si>
  <si>
    <t>2nd Benchmark Before</t>
  </si>
  <si>
    <t>2nd Benchmark After</t>
  </si>
  <si>
    <t>3rd Benchmark After (10% Surcharge)</t>
  </si>
  <si>
    <t>TRACK</t>
  </si>
  <si>
    <t>REVENUE DISTRIBUTIONS</t>
  </si>
  <si>
    <t>RACETRACK</t>
  </si>
  <si>
    <t>COUNTIES</t>
  </si>
  <si>
    <t>WEEK ENDING</t>
  </si>
  <si>
    <t>SURCHARGE</t>
  </si>
  <si>
    <t>**  Represents an average of the number of machines in use for the week, averaged for the fiscal year.</t>
  </si>
  <si>
    <t>CITIES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</si>
  <si>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</si>
  <si>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</si>
  <si>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</si>
  <si>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</si>
  <si>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</si>
  <si>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</si>
  <si>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</si>
  <si>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</si>
  <si>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</si>
  <si>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</si>
  <si>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</si>
  <si>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</si>
  <si>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</si>
  <si>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</si>
  <si>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</si>
  <si>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</si>
  <si>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</t>
  </si>
  <si>
    <t>AVG NUMBER
OF
TERMINALS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</si>
  <si>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</si>
  <si>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</si>
  <si>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</si>
  <si>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</si>
  <si>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</si>
  <si>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</si>
  <si>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</si>
  <si>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</si>
  <si>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CITIES*</t>
  </si>
  <si>
    <t xml:space="preserve"> </t>
  </si>
  <si>
    <t>FY 2021</t>
  </si>
  <si>
    <t>FISCAL YEAR 2022</t>
  </si>
  <si>
    <t>7/3/2021 *</t>
  </si>
  <si>
    <t>* 3 days to start the fiscal year</t>
  </si>
  <si>
    <t>*The following transfers have been made for this amount:  Bolivar - $2,167;  Charles Town - $10,906;  Harpers Ferry - $593;  Ranson - $9,206;  Shepherdstown - $4,461.</t>
  </si>
  <si>
    <t>*The following transfers have been made for this amount:  Bolivar - $151,976;  Charles Town - $764,673;  Harpers Ferry - $41,588;  Ranson - $645,468;  Shepherdstown - $312,768.</t>
  </si>
  <si>
    <t>FOR THE 5 DAYS ENDING JUNE 30, 2022</t>
  </si>
  <si>
    <t>FISCAL YEAR ENDING JUNE 30, 2022</t>
  </si>
  <si>
    <t>6/30/2022 ***</t>
  </si>
  <si>
    <t>*** 5 days to end the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</si>
</sst>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/>
    <xf numFmtId="0" fontId="0" fillId="0" borderId="0" xfId="0" applyFont="1"/>
    <xf numFmtId="0" fontId="0" fillId="0" borderId="9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44" fontId="0" fillId="0" borderId="0" xfId="1" applyNumberFormat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3" fontId="0" fillId="0" borderId="0" xfId="1" applyNumberFormat="1" applyFont="1" applyAlignment="1">
      <alignment horizontal="center"/>
    </xf>
    <xf numFmtId="44" fontId="0" fillId="0" borderId="0" xfId="0" applyNumberFormat="1" applyFont="1"/>
    <xf numFmtId="44" fontId="0" fillId="0" borderId="11" xfId="0" applyNumberFormat="1" applyFont="1" applyBorder="1"/>
    <xf numFmtId="44" fontId="0" fillId="0" borderId="11" xfId="0" applyNumberFormat="1" applyFont="1" applyBorder="1" applyAlignment="1">
      <alignment horizontal="center"/>
    </xf>
    <xf numFmtId="38" fontId="0" fillId="0" borderId="11" xfId="0" applyNumberFormat="1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" xfId="0" applyFont="1" applyBorder="1"/>
    <xf numFmtId="9" fontId="6" fillId="0" borderId="0" xfId="2" applyFont="1" applyBorder="1"/>
    <xf numFmtId="0" fontId="6" fillId="0" borderId="0" xfId="0" applyFont="1" applyBorder="1"/>
    <xf numFmtId="42" fontId="6" fillId="0" borderId="0" xfId="1" applyNumberFormat="1" applyFont="1" applyBorder="1"/>
    <xf numFmtId="42" fontId="6" fillId="0" borderId="9" xfId="1" applyNumberFormat="1" applyFont="1" applyBorder="1"/>
    <xf numFmtId="0" fontId="6" fillId="0" borderId="5" xfId="0" applyFont="1" applyBorder="1"/>
    <xf numFmtId="44" fontId="6" fillId="0" borderId="6" xfId="1" applyFont="1" applyBorder="1"/>
    <xf numFmtId="44" fontId="6" fillId="0" borderId="0" xfId="1" applyFont="1" applyBorder="1"/>
    <xf numFmtId="38" fontId="6" fillId="0" borderId="2" xfId="0" applyNumberFormat="1" applyFont="1" applyBorder="1"/>
    <xf numFmtId="0" fontId="6" fillId="0" borderId="9" xfId="0" applyFont="1" applyFill="1" applyBorder="1" applyAlignment="1">
      <alignment horizontal="center" wrapText="1"/>
    </xf>
    <xf numFmtId="9" fontId="6" fillId="0" borderId="0" xfId="2" applyFont="1" applyFill="1" applyBorder="1"/>
    <xf numFmtId="0" fontId="6" fillId="0" borderId="0" xfId="0" applyFont="1" applyFill="1" applyBorder="1"/>
    <xf numFmtId="42" fontId="6" fillId="0" borderId="0" xfId="1" applyNumberFormat="1" applyFont="1" applyFill="1" applyBorder="1"/>
    <xf numFmtId="0" fontId="6" fillId="0" borderId="12" xfId="0" applyFont="1" applyFill="1" applyBorder="1" applyAlignment="1">
      <alignment horizontal="center" wrapText="1"/>
    </xf>
    <xf numFmtId="9" fontId="6" fillId="0" borderId="2" xfId="2" applyFont="1" applyFill="1" applyBorder="1"/>
    <xf numFmtId="0" fontId="6" fillId="0" borderId="2" xfId="0" applyFont="1" applyFill="1" applyBorder="1"/>
    <xf numFmtId="42" fontId="6" fillId="0" borderId="2" xfId="1" applyNumberFormat="1" applyFont="1" applyFill="1" applyBorder="1"/>
    <xf numFmtId="0" fontId="0" fillId="0" borderId="0" xfId="0" applyFont="1" applyBorder="1" applyAlignment="1">
      <alignment horizontal="center" wrapText="1"/>
    </xf>
    <xf numFmtId="44" fontId="0" fillId="0" borderId="0" xfId="1" applyFont="1" applyAlignment="1">
      <alignment horizontal="center"/>
    </xf>
    <xf numFmtId="0" fontId="6" fillId="0" borderId="1" xfId="0" applyFont="1" applyBorder="1" applyAlignment="1"/>
    <xf numFmtId="0" fontId="0" fillId="0" borderId="0" xfId="0" applyFont="1" applyBorder="1" applyAlignment="1">
      <alignment horizontal="center" wrapText="1"/>
    </xf>
    <xf numFmtId="37" fontId="6" fillId="0" borderId="6" xfId="1" applyNumberFormat="1" applyFont="1" applyBorder="1"/>
    <xf numFmtId="44" fontId="6" fillId="0" borderId="4" xfId="1" applyFont="1" applyFill="1" applyBorder="1"/>
    <xf numFmtId="3" fontId="6" fillId="0" borderId="4" xfId="1" applyNumberFormat="1" applyFont="1" applyBorder="1"/>
    <xf numFmtId="42" fontId="6" fillId="0" borderId="4" xfId="1" applyNumberFormat="1" applyFont="1" applyFill="1" applyBorder="1"/>
    <xf numFmtId="42" fontId="6" fillId="0" borderId="9" xfId="1" applyNumberFormat="1" applyFont="1" applyFill="1" applyBorder="1"/>
    <xf numFmtId="42" fontId="6" fillId="0" borderId="10" xfId="1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/>
    <xf numFmtId="164" fontId="6" fillId="0" borderId="0" xfId="2" applyNumberFormat="1" applyFont="1" applyFill="1" applyBorder="1"/>
    <xf numFmtId="44" fontId="6" fillId="0" borderId="6" xfId="1" applyFont="1" applyFill="1" applyBorder="1"/>
    <xf numFmtId="44" fontId="6" fillId="0" borderId="0" xfId="1" applyFont="1" applyFill="1" applyBorder="1"/>
    <xf numFmtId="38" fontId="6" fillId="0" borderId="0" xfId="0" applyNumberFormat="1" applyFont="1" applyFill="1" applyBorder="1"/>
    <xf numFmtId="37" fontId="6" fillId="0" borderId="6" xfId="1" applyNumberFormat="1" applyFont="1" applyFill="1" applyBorder="1"/>
    <xf numFmtId="38" fontId="6" fillId="0" borderId="6" xfId="1" applyNumberFormat="1" applyFont="1" applyFill="1" applyBorder="1"/>
    <xf numFmtId="0" fontId="6" fillId="0" borderId="0" xfId="0" applyFont="1" applyFill="1" applyBorder="1" applyAlignment="1"/>
    <xf numFmtId="37" fontId="6" fillId="0" borderId="7" xfId="1" applyNumberFormat="1" applyFont="1" applyFill="1" applyBorder="1"/>
    <xf numFmtId="38" fontId="6" fillId="0" borderId="2" xfId="0" applyNumberFormat="1" applyFont="1" applyFill="1" applyBorder="1"/>
    <xf numFmtId="38" fontId="6" fillId="0" borderId="2" xfId="1" applyNumberFormat="1" applyFont="1" applyFill="1" applyBorder="1"/>
    <xf numFmtId="38" fontId="6" fillId="0" borderId="10" xfId="1" applyNumberFormat="1" applyFont="1" applyFill="1" applyBorder="1"/>
    <xf numFmtId="42" fontId="6" fillId="0" borderId="3" xfId="1" applyNumberFormat="1" applyFont="1" applyFill="1" applyBorder="1"/>
    <xf numFmtId="38" fontId="6" fillId="0" borderId="4" xfId="1" applyNumberFormat="1" applyFont="1" applyFill="1" applyBorder="1"/>
    <xf numFmtId="38" fontId="6" fillId="0" borderId="7" xfId="1" applyNumberFormat="1" applyFont="1" applyFill="1" applyBorder="1"/>
    <xf numFmtId="0" fontId="0" fillId="0" borderId="0" xfId="0" applyFont="1" applyBorder="1" applyAlignment="1">
      <alignment horizontal="center" wrapText="1"/>
    </xf>
    <xf numFmtId="44" fontId="8" fillId="0" borderId="0" xfId="1" applyFont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Border="1" applyAlignment="1">
      <alignment horizontal="center" wrapText="1"/>
    </xf>
  </cellXfs>
  <cellStyles count="7">
    <cellStyle name="Comma 2" xfId="4"/>
    <cellStyle name="Currency" xfId="1" builtinId="4"/>
    <cellStyle name="Currency 2" xfId="5"/>
    <cellStyle name="Normal" xfId="0" builtinId="0"/>
    <cellStyle name="Normal 2" xfId="3"/>
    <cellStyle name="Percent" xfId="2" builtinId="5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zoomScaleNormal="100" workbookViewId="0">
      <selection sqref="A1:L1"/>
    </sheetView>
  </sheetViews>
  <sheetFormatPr defaultRowHeight="15" customHeight="1" x14ac:dyDescent="0.25"/>
  <cols>
    <col min="1" max="1" width="45.140625" style="17" bestFit="1" customWidth="1"/>
    <col min="2" max="3" width="15.7109375" style="17" customWidth="1"/>
    <col min="4" max="4" width="13.7109375" style="17" customWidth="1"/>
    <col min="5" max="5" width="13.7109375" style="50" customWidth="1"/>
    <col min="6" max="7" width="12.7109375" style="50" customWidth="1"/>
    <col min="8" max="8" width="15.7109375" style="50" customWidth="1"/>
    <col min="9" max="9" width="13.7109375" style="50" customWidth="1"/>
    <col min="10" max="10" width="12.7109375" style="50" customWidth="1"/>
    <col min="11" max="11" width="15.7109375" style="50" customWidth="1"/>
    <col min="12" max="12" width="12.7109375" style="17" customWidth="1"/>
    <col min="13" max="16384" width="9.140625" style="17"/>
  </cols>
  <sheetData>
    <row r="1" spans="1:12" ht="21" x14ac:dyDescent="0.3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ht="18.75" x14ac:dyDescent="0.3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2" ht="18.75" x14ac:dyDescent="0.3">
      <c r="A3" s="71" t="s">
        <v>52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ht="18.75" x14ac:dyDescent="0.3">
      <c r="A4" s="71" t="s">
        <v>47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 ht="15" customHeight="1" x14ac:dyDescent="0.25">
      <c r="A5" s="18"/>
      <c r="B5" s="18"/>
      <c r="C5" s="18"/>
      <c r="D5" s="18"/>
      <c r="E5" s="49"/>
      <c r="F5" s="49"/>
      <c r="G5" s="49"/>
      <c r="H5" s="49"/>
      <c r="I5" s="49"/>
      <c r="J5" s="49"/>
      <c r="K5" s="49"/>
      <c r="L5" s="18"/>
    </row>
    <row r="7" spans="1:12" ht="15" customHeight="1" thickBot="1" x14ac:dyDescent="0.3"/>
    <row r="8" spans="1:12" ht="15" customHeight="1" thickBot="1" x14ac:dyDescent="0.3">
      <c r="A8" s="67" t="s">
        <v>2</v>
      </c>
      <c r="B8" s="68"/>
      <c r="C8" s="68"/>
      <c r="D8" s="68"/>
      <c r="E8" s="68"/>
      <c r="F8" s="68"/>
      <c r="G8" s="68"/>
      <c r="H8" s="68"/>
      <c r="I8" s="68"/>
      <c r="J8" s="68"/>
      <c r="K8" s="69"/>
      <c r="L8" s="41"/>
    </row>
    <row r="9" spans="1:12" ht="47.25" x14ac:dyDescent="0.25">
      <c r="A9" s="19" t="s">
        <v>10</v>
      </c>
      <c r="B9" s="31" t="s">
        <v>18</v>
      </c>
      <c r="C9" s="31" t="s">
        <v>19</v>
      </c>
      <c r="D9" s="31" t="s">
        <v>21</v>
      </c>
      <c r="E9" s="31" t="s">
        <v>22</v>
      </c>
      <c r="F9" s="31" t="s">
        <v>20</v>
      </c>
      <c r="G9" s="31" t="s">
        <v>23</v>
      </c>
      <c r="H9" s="31" t="s">
        <v>24</v>
      </c>
      <c r="I9" s="31" t="s">
        <v>25</v>
      </c>
      <c r="J9" s="31" t="s">
        <v>26</v>
      </c>
      <c r="K9" s="35" t="s">
        <v>27</v>
      </c>
    </row>
    <row r="10" spans="1:12" ht="15" customHeight="1" x14ac:dyDescent="0.25">
      <c r="A10" s="22" t="s">
        <v>7</v>
      </c>
      <c r="B10" s="23"/>
      <c r="C10" s="23"/>
      <c r="D10" s="23"/>
      <c r="E10" s="32"/>
      <c r="F10" s="32">
        <v>0.04</v>
      </c>
      <c r="G10" s="32"/>
      <c r="H10" s="32"/>
      <c r="I10" s="32"/>
      <c r="J10" s="32"/>
      <c r="K10" s="36"/>
    </row>
    <row r="11" spans="1:12" ht="15" customHeight="1" x14ac:dyDescent="0.25">
      <c r="A11" s="22" t="s">
        <v>8</v>
      </c>
      <c r="B11" s="23"/>
      <c r="C11" s="23"/>
      <c r="D11" s="23"/>
      <c r="E11" s="32"/>
      <c r="F11" s="32"/>
      <c r="G11" s="32">
        <v>0.04</v>
      </c>
      <c r="H11" s="32"/>
      <c r="I11" s="32"/>
      <c r="J11" s="32"/>
      <c r="K11" s="36"/>
    </row>
    <row r="12" spans="1:12" ht="15" customHeight="1" x14ac:dyDescent="0.25">
      <c r="A12" s="22" t="s">
        <v>9</v>
      </c>
      <c r="B12" s="23"/>
      <c r="C12" s="23"/>
      <c r="D12" s="23"/>
      <c r="E12" s="32"/>
      <c r="F12" s="32"/>
      <c r="G12" s="32"/>
      <c r="H12" s="32"/>
      <c r="I12" s="51">
        <v>0.622</v>
      </c>
      <c r="J12" s="51">
        <v>0.378</v>
      </c>
      <c r="K12" s="36"/>
    </row>
    <row r="13" spans="1:12" ht="15" customHeight="1" x14ac:dyDescent="0.25">
      <c r="A13" s="22"/>
      <c r="B13" s="24"/>
      <c r="C13" s="24"/>
      <c r="D13" s="24"/>
      <c r="E13" s="33"/>
      <c r="F13" s="33"/>
      <c r="G13" s="33"/>
      <c r="H13" s="33"/>
      <c r="I13" s="33"/>
      <c r="J13" s="33"/>
      <c r="K13" s="37"/>
    </row>
    <row r="14" spans="1:12" ht="15" customHeight="1" x14ac:dyDescent="0.25">
      <c r="A14" s="22" t="s">
        <v>6</v>
      </c>
      <c r="B14" s="25">
        <f>Mountaineer!$B$58+1</f>
        <v>8667766.379999999</v>
      </c>
      <c r="C14" s="25">
        <f>Mountaineer!$C$58</f>
        <v>7712461.8100000005</v>
      </c>
      <c r="D14" s="25">
        <f>Mountaineer!$D$58</f>
        <v>133471</v>
      </c>
      <c r="E14" s="34">
        <f>Mountaineer!$E$58</f>
        <v>821832.56999999844</v>
      </c>
      <c r="F14" s="25">
        <f>Mountaineer!$F$58+1</f>
        <v>32874.310000000005</v>
      </c>
      <c r="G14" s="25">
        <f>Mountaineer!$G$58</f>
        <v>0</v>
      </c>
      <c r="H14" s="34">
        <f>Mountaineer!$H$58</f>
        <v>788959.25999999838</v>
      </c>
      <c r="I14" s="34">
        <f>Mountaineer!$J$58</f>
        <v>0</v>
      </c>
      <c r="J14" s="34">
        <f>Mountaineer!$K$58</f>
        <v>0</v>
      </c>
      <c r="K14" s="38">
        <f>Mountaineer!$L$58</f>
        <v>788959.25999999838</v>
      </c>
      <c r="L14" s="50"/>
    </row>
    <row r="15" spans="1:12" ht="15" customHeight="1" x14ac:dyDescent="0.25">
      <c r="A15" s="22"/>
      <c r="B15" s="25"/>
      <c r="C15" s="25"/>
      <c r="D15" s="25"/>
      <c r="E15" s="34"/>
      <c r="F15" s="25"/>
      <c r="G15" s="25"/>
      <c r="H15" s="34"/>
      <c r="I15" s="34"/>
      <c r="J15" s="34"/>
      <c r="K15" s="38"/>
      <c r="L15" s="50"/>
    </row>
    <row r="16" spans="1:12" ht="15" customHeight="1" x14ac:dyDescent="0.25">
      <c r="A16" s="22" t="s">
        <v>5</v>
      </c>
      <c r="B16" s="25">
        <f>Wheeling!$B$58-1</f>
        <v>9435507.5999999996</v>
      </c>
      <c r="C16" s="25">
        <f>Wheeling!$C$58</f>
        <v>8522635.1799999997</v>
      </c>
      <c r="D16" s="25">
        <f>Wheeling!$D$58</f>
        <v>149352</v>
      </c>
      <c r="E16" s="34">
        <f>Wheeling!$E$58</f>
        <v>763521.41999999993</v>
      </c>
      <c r="F16" s="25">
        <f>Wheeling!$F$58-1</f>
        <v>30539.86</v>
      </c>
      <c r="G16" s="25">
        <f>Wheeling!$G$58</f>
        <v>0</v>
      </c>
      <c r="H16" s="34">
        <f>Wheeling!$H$58</f>
        <v>732980.55999999994</v>
      </c>
      <c r="I16" s="34">
        <f>Wheeling!$J$58</f>
        <v>0</v>
      </c>
      <c r="J16" s="34">
        <f>Wheeling!$K$58</f>
        <v>0</v>
      </c>
      <c r="K16" s="38">
        <f>Wheeling!$L$58</f>
        <v>732980.55999999994</v>
      </c>
      <c r="L16" s="50"/>
    </row>
    <row r="17" spans="1:12" ht="15" customHeight="1" x14ac:dyDescent="0.25">
      <c r="A17" s="22"/>
      <c r="B17" s="25"/>
      <c r="C17" s="25"/>
      <c r="D17" s="25"/>
      <c r="E17" s="34"/>
      <c r="F17" s="25"/>
      <c r="G17" s="25"/>
      <c r="H17" s="34"/>
      <c r="I17" s="34"/>
      <c r="J17" s="34"/>
      <c r="K17" s="38"/>
      <c r="L17" s="50"/>
    </row>
    <row r="18" spans="1:12" ht="15" customHeight="1" x14ac:dyDescent="0.25">
      <c r="A18" s="22" t="s">
        <v>4</v>
      </c>
      <c r="B18" s="25">
        <f>'Mardi Gras'!$B$58+1</f>
        <v>6845575.4300000006</v>
      </c>
      <c r="C18" s="25">
        <f>'Mardi Gras'!$C$58</f>
        <v>6188613.6399999997</v>
      </c>
      <c r="D18" s="25">
        <f>'Mardi Gras'!$D$58</f>
        <v>68341</v>
      </c>
      <c r="E18" s="34">
        <f>'Mardi Gras'!$E$58</f>
        <v>588619.79000000097</v>
      </c>
      <c r="F18" s="25">
        <f>'Mardi Gras'!$F$58</f>
        <v>0</v>
      </c>
      <c r="G18" s="25">
        <f>'Mardi Gras'!$G$58</f>
        <v>23544.79</v>
      </c>
      <c r="H18" s="34">
        <f>'Mardi Gras'!$H$58</f>
        <v>565075.00000000093</v>
      </c>
      <c r="I18" s="34">
        <f>'Mardi Gras'!$J$58</f>
        <v>35147.67</v>
      </c>
      <c r="J18" s="34">
        <f>'Mardi Gras'!$K$58</f>
        <v>21359.84</v>
      </c>
      <c r="K18" s="38">
        <f>'Mardi Gras'!$L$58</f>
        <v>508567.49000000092</v>
      </c>
      <c r="L18" s="50"/>
    </row>
    <row r="19" spans="1:12" ht="15" customHeight="1" x14ac:dyDescent="0.25">
      <c r="A19" s="22"/>
      <c r="B19" s="25"/>
      <c r="C19" s="25"/>
      <c r="D19" s="25"/>
      <c r="E19" s="34"/>
      <c r="F19" s="25"/>
      <c r="G19" s="25"/>
      <c r="H19" s="34"/>
      <c r="I19" s="34"/>
      <c r="J19" s="34"/>
      <c r="K19" s="38"/>
      <c r="L19" s="50"/>
    </row>
    <row r="20" spans="1:12" ht="15" customHeight="1" x14ac:dyDescent="0.25">
      <c r="A20" s="22" t="s">
        <v>3</v>
      </c>
      <c r="B20" s="26">
        <f>'Charles Town'!$B$58</f>
        <v>37087473.359999999</v>
      </c>
      <c r="C20" s="26">
        <f>'Charles Town'!$C$58</f>
        <v>33331615.27</v>
      </c>
      <c r="D20" s="26">
        <f>'Charles Town'!$D$58</f>
        <v>592275</v>
      </c>
      <c r="E20" s="47">
        <f>'Charles Town'!$E$58</f>
        <v>3163583.09</v>
      </c>
      <c r="F20" s="26">
        <f>'Charles Town'!$F$58</f>
        <v>0</v>
      </c>
      <c r="G20" s="26">
        <f>'Charles Town'!$G$58</f>
        <v>126543.33</v>
      </c>
      <c r="H20" s="47">
        <f>'Charles Town'!$H$58</f>
        <v>3037039.76</v>
      </c>
      <c r="I20" s="47">
        <f>'Charles Town'!$J$58</f>
        <v>188903.88</v>
      </c>
      <c r="J20" s="47">
        <f>'Charles Town'!$K$58</f>
        <v>114800.1</v>
      </c>
      <c r="K20" s="48">
        <f>'Charles Town'!$L$58</f>
        <v>2733335.78</v>
      </c>
      <c r="L20" s="50"/>
    </row>
    <row r="21" spans="1:12" ht="15" customHeight="1" x14ac:dyDescent="0.25">
      <c r="A21" s="22"/>
      <c r="B21" s="25"/>
      <c r="C21" s="25"/>
      <c r="D21" s="25"/>
      <c r="E21" s="34"/>
      <c r="F21" s="25"/>
      <c r="G21" s="25"/>
      <c r="H21" s="34"/>
      <c r="I21" s="34"/>
      <c r="J21" s="34"/>
      <c r="K21" s="38"/>
      <c r="L21" s="50"/>
    </row>
    <row r="22" spans="1:12" ht="15" customHeight="1" thickBot="1" x14ac:dyDescent="0.3">
      <c r="A22" s="22"/>
      <c r="B22" s="34">
        <f>Total!$B$58</f>
        <v>62036321.769999996</v>
      </c>
      <c r="C22" s="25">
        <f>Total!$C$58</f>
        <v>55755325.899999999</v>
      </c>
      <c r="D22" s="25">
        <f>Total!$D$58</f>
        <v>943439</v>
      </c>
      <c r="E22" s="34">
        <f>Total!$E$58</f>
        <v>5337556.8699999992</v>
      </c>
      <c r="F22" s="25">
        <f>Total!$F$58</f>
        <v>63414.170000000006</v>
      </c>
      <c r="G22" s="25">
        <f>Total!$G$58</f>
        <v>150088.12</v>
      </c>
      <c r="H22" s="34">
        <f>Total!$H$58</f>
        <v>5124054.5799999991</v>
      </c>
      <c r="I22" s="34">
        <f>Total!$J$58</f>
        <v>224051.55</v>
      </c>
      <c r="J22" s="34">
        <f>Total!$K$58</f>
        <v>136159.94</v>
      </c>
      <c r="K22" s="46">
        <f>Total!$L$58</f>
        <v>4763843.0899999989</v>
      </c>
      <c r="L22" s="50"/>
    </row>
    <row r="23" spans="1:12" ht="15" customHeight="1" thickBot="1" x14ac:dyDescent="0.3">
      <c r="A23" s="27"/>
      <c r="B23" s="28"/>
      <c r="C23" s="28"/>
      <c r="D23" s="28"/>
      <c r="E23" s="52" t="s">
        <v>45</v>
      </c>
      <c r="F23" s="52"/>
      <c r="G23" s="52"/>
      <c r="H23" s="52"/>
      <c r="I23" s="52"/>
      <c r="J23" s="52"/>
      <c r="K23" s="44"/>
    </row>
    <row r="24" spans="1:12" ht="15" customHeight="1" x14ac:dyDescent="0.25">
      <c r="A24" s="24"/>
      <c r="B24" s="29"/>
      <c r="C24" s="29"/>
      <c r="D24" s="29"/>
      <c r="E24" s="53"/>
      <c r="F24" s="53"/>
      <c r="G24" s="53"/>
      <c r="H24" s="53"/>
      <c r="I24" s="53"/>
      <c r="J24" s="53"/>
      <c r="K24" s="53"/>
      <c r="L24" s="29"/>
    </row>
    <row r="26" spans="1:12" ht="15" customHeight="1" thickBot="1" x14ac:dyDescent="0.3"/>
    <row r="27" spans="1:12" ht="15" customHeight="1" thickBot="1" x14ac:dyDescent="0.3">
      <c r="A27" s="67" t="s">
        <v>11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9"/>
    </row>
    <row r="28" spans="1:12" ht="47.25" x14ac:dyDescent="0.25">
      <c r="A28" s="19"/>
      <c r="B28" s="20" t="s">
        <v>12</v>
      </c>
      <c r="C28" s="20" t="s">
        <v>28</v>
      </c>
      <c r="D28" s="20" t="s">
        <v>23</v>
      </c>
      <c r="E28" s="31" t="s">
        <v>29</v>
      </c>
      <c r="F28" s="31" t="s">
        <v>30</v>
      </c>
      <c r="G28" s="31" t="s">
        <v>31</v>
      </c>
      <c r="H28" s="31" t="s">
        <v>32</v>
      </c>
      <c r="I28" s="31" t="s">
        <v>13</v>
      </c>
      <c r="J28" s="31" t="s">
        <v>44</v>
      </c>
      <c r="K28" s="31" t="s">
        <v>33</v>
      </c>
      <c r="L28" s="21" t="s">
        <v>34</v>
      </c>
    </row>
    <row r="29" spans="1:12" ht="15" customHeight="1" x14ac:dyDescent="0.25">
      <c r="A29" s="22"/>
      <c r="B29" s="29"/>
      <c r="C29" s="29"/>
      <c r="D29" s="29"/>
      <c r="E29" s="53"/>
      <c r="F29" s="53"/>
      <c r="G29" s="53"/>
      <c r="H29" s="53"/>
      <c r="I29" s="53"/>
      <c r="J29" s="53"/>
      <c r="K29" s="54"/>
      <c r="L29" s="30"/>
    </row>
    <row r="30" spans="1:12" ht="15" customHeight="1" x14ac:dyDescent="0.25">
      <c r="A30" s="22" t="s">
        <v>6</v>
      </c>
      <c r="B30" s="25">
        <f>Mountaineer!$M$58</f>
        <v>366866.06</v>
      </c>
      <c r="C30" s="25">
        <f>Mountaineer!$N$58+1</f>
        <v>236688.74</v>
      </c>
      <c r="D30" s="25">
        <f>Mountaineer!$O$58</f>
        <v>101381.26999999999</v>
      </c>
      <c r="E30" s="25">
        <f>Mountaineer!$P$58</f>
        <v>49704.43</v>
      </c>
      <c r="F30" s="25">
        <f>Mountaineer!$Q$58</f>
        <v>7889.6</v>
      </c>
      <c r="G30" s="25">
        <f>Mountaineer!$R$58</f>
        <v>5325.48</v>
      </c>
      <c r="H30" s="34">
        <f>Mountaineer!$S$58</f>
        <v>5325.48</v>
      </c>
      <c r="I30" s="34">
        <f>Mountaineer!$T$58</f>
        <v>15779.2</v>
      </c>
      <c r="J30" s="34">
        <v>0</v>
      </c>
      <c r="K30" s="34">
        <f>Mountaineer!$V$58</f>
        <v>821.83256999999844</v>
      </c>
      <c r="L30" s="60">
        <f>Mountaineer!$W$58</f>
        <v>1000</v>
      </c>
    </row>
    <row r="31" spans="1:12" ht="15" customHeight="1" x14ac:dyDescent="0.25">
      <c r="A31" s="22"/>
      <c r="B31" s="25"/>
      <c r="C31" s="25"/>
      <c r="D31" s="25"/>
      <c r="E31" s="25"/>
      <c r="F31" s="25"/>
      <c r="G31" s="25"/>
      <c r="H31" s="34"/>
      <c r="I31" s="34"/>
      <c r="J31" s="34"/>
      <c r="K31" s="34"/>
      <c r="L31" s="60"/>
    </row>
    <row r="32" spans="1:12" ht="15" customHeight="1" x14ac:dyDescent="0.25">
      <c r="A32" s="22" t="s">
        <v>5</v>
      </c>
      <c r="B32" s="25">
        <f>Wheeling!$M$58</f>
        <v>340835.96</v>
      </c>
      <c r="C32" s="25">
        <f>Wheeling!$N$58-1</f>
        <v>219893.21000000002</v>
      </c>
      <c r="D32" s="25">
        <f>Wheeling!$O$58</f>
        <v>94187.97</v>
      </c>
      <c r="E32" s="25">
        <f>Wheeling!$P$58</f>
        <v>46177.78</v>
      </c>
      <c r="F32" s="25">
        <f>Wheeling!$Q$58</f>
        <v>7329.8</v>
      </c>
      <c r="G32" s="25">
        <f>Wheeling!$R$58</f>
        <v>4947.62</v>
      </c>
      <c r="H32" s="34">
        <f>Wheeling!$S$58</f>
        <v>4947.62</v>
      </c>
      <c r="I32" s="34">
        <f>Wheeling!$T$58</f>
        <v>7329.8</v>
      </c>
      <c r="J32" s="34">
        <f>Wheeling!$U$58</f>
        <v>7329.8</v>
      </c>
      <c r="K32" s="34">
        <f>Wheeling!$V$58</f>
        <v>1090.7448857142856</v>
      </c>
      <c r="L32" s="60">
        <f>Wheeling!$W$58</f>
        <v>700</v>
      </c>
    </row>
    <row r="33" spans="1:12" ht="15" customHeight="1" x14ac:dyDescent="0.25">
      <c r="A33" s="22"/>
      <c r="B33" s="25"/>
      <c r="C33" s="25"/>
      <c r="D33" s="25"/>
      <c r="E33" s="25"/>
      <c r="F33" s="25"/>
      <c r="G33" s="25"/>
      <c r="H33" s="34"/>
      <c r="I33" s="34"/>
      <c r="J33" s="34"/>
      <c r="K33" s="34"/>
      <c r="L33" s="60"/>
    </row>
    <row r="34" spans="1:12" ht="15" customHeight="1" x14ac:dyDescent="0.25">
      <c r="A34" s="22" t="s">
        <v>4</v>
      </c>
      <c r="B34" s="25">
        <f>'Mardi Gras'!$M$58</f>
        <v>213598.35</v>
      </c>
      <c r="C34" s="25">
        <f>'Mardi Gras'!$N$58</f>
        <v>0</v>
      </c>
      <c r="D34" s="25">
        <f>'Mardi Gras'!$O$58-1</f>
        <v>257079.85</v>
      </c>
      <c r="E34" s="25">
        <f>'Mardi Gras'!$P$58</f>
        <v>18308.43</v>
      </c>
      <c r="F34" s="25">
        <f>'Mardi Gras'!$Q$58</f>
        <v>2542.84</v>
      </c>
      <c r="G34" s="25">
        <f>'Mardi Gras'!$R$58</f>
        <v>3432.83</v>
      </c>
      <c r="H34" s="34">
        <f>'Mardi Gras'!$S$58</f>
        <v>3432.83</v>
      </c>
      <c r="I34" s="34">
        <f>'Mardi Gras'!$T$58</f>
        <v>5085.68</v>
      </c>
      <c r="J34" s="34">
        <f>'Mardi Gras'!$U$58</f>
        <v>5085.68</v>
      </c>
      <c r="K34" s="34">
        <f>'Mardi Gras'!$V$58</f>
        <v>866.89217967599552</v>
      </c>
      <c r="L34" s="60">
        <f>'Mardi Gras'!$W$58</f>
        <v>679</v>
      </c>
    </row>
    <row r="35" spans="1:12" ht="15" customHeight="1" x14ac:dyDescent="0.25">
      <c r="A35" s="22"/>
      <c r="B35" s="25"/>
      <c r="C35" s="25"/>
      <c r="D35" s="25"/>
      <c r="E35" s="25"/>
      <c r="F35" s="25"/>
      <c r="G35" s="25"/>
      <c r="H35" s="34"/>
      <c r="I35" s="34"/>
      <c r="J35" s="34"/>
      <c r="K35" s="34"/>
      <c r="L35" s="60"/>
    </row>
    <row r="36" spans="1:12" ht="15" customHeight="1" x14ac:dyDescent="0.25">
      <c r="A36" s="22" t="s">
        <v>3</v>
      </c>
      <c r="B36" s="26">
        <f>'Charles Town'!$M$58</f>
        <v>1148001.03</v>
      </c>
      <c r="C36" s="26">
        <f>'Charles Town'!$N$58</f>
        <v>0</v>
      </c>
      <c r="D36" s="26">
        <f>'Charles Town'!$O$58+1</f>
        <v>1381702.22</v>
      </c>
      <c r="E36" s="26">
        <f>'Charles Town'!$P$58</f>
        <v>98400.09</v>
      </c>
      <c r="F36" s="26">
        <f>'Charles Town'!$Q$58</f>
        <v>13666.68</v>
      </c>
      <c r="G36" s="26">
        <f>'Charles Town'!$R$58</f>
        <v>18450.02</v>
      </c>
      <c r="H36" s="47">
        <f>'Charles Town'!$S$58</f>
        <v>18450.02</v>
      </c>
      <c r="I36" s="47">
        <f>'Charles Town'!$T$58</f>
        <v>27333.360000000001</v>
      </c>
      <c r="J36" s="47">
        <f>'Charles Town'!$U$58</f>
        <v>27333.360000000001</v>
      </c>
      <c r="K36" s="47">
        <f>'Charles Town'!$V$58</f>
        <v>1807.7617657142857</v>
      </c>
      <c r="L36" s="61">
        <f>'Charles Town'!$W$58</f>
        <v>1750</v>
      </c>
    </row>
    <row r="37" spans="1:12" ht="15" customHeight="1" x14ac:dyDescent="0.25">
      <c r="A37" s="22"/>
      <c r="B37" s="25"/>
      <c r="C37" s="25"/>
      <c r="D37" s="25"/>
      <c r="E37" s="25"/>
      <c r="F37" s="25"/>
      <c r="G37" s="25"/>
      <c r="H37" s="34"/>
      <c r="I37" s="34"/>
      <c r="J37" s="34"/>
      <c r="K37" s="34"/>
      <c r="L37" s="60"/>
    </row>
    <row r="38" spans="1:12" ht="15" customHeight="1" thickBot="1" x14ac:dyDescent="0.3">
      <c r="A38" s="22"/>
      <c r="B38" s="34">
        <f>Total!$M$58</f>
        <v>2069301.4</v>
      </c>
      <c r="C38" s="34">
        <f>Total!$N$58</f>
        <v>456581.95</v>
      </c>
      <c r="D38" s="25">
        <f>Total!$O$58</f>
        <v>1834351.31</v>
      </c>
      <c r="E38" s="25">
        <f>Total!$P$58-1</f>
        <v>212589.72999999998</v>
      </c>
      <c r="F38" s="34">
        <f>Total!$Q$58+1</f>
        <v>31429.920000000002</v>
      </c>
      <c r="G38" s="34">
        <f>Total!$R$58</f>
        <v>32155.949999999997</v>
      </c>
      <c r="H38" s="34">
        <f>Total!$S$58</f>
        <v>32155.949999999997</v>
      </c>
      <c r="I38" s="34">
        <f>Total!$T$58</f>
        <v>55528.04</v>
      </c>
      <c r="J38" s="34">
        <f>Total!$U$58</f>
        <v>39748.839999999997</v>
      </c>
      <c r="K38" s="62">
        <f>Total!$V$58-1</f>
        <v>4586.2314011045655</v>
      </c>
      <c r="L38" s="63">
        <f>Total!$W$58</f>
        <v>4129</v>
      </c>
    </row>
    <row r="39" spans="1:12" ht="15" customHeight="1" thickBot="1" x14ac:dyDescent="0.3">
      <c r="A39" s="27"/>
      <c r="B39" s="43"/>
      <c r="C39" s="43"/>
      <c r="D39" s="43"/>
      <c r="E39" s="55" t="s">
        <v>45</v>
      </c>
      <c r="F39" s="55"/>
      <c r="G39" s="55"/>
      <c r="H39" s="55"/>
      <c r="I39" s="55"/>
      <c r="J39" s="55"/>
      <c r="K39" s="56"/>
      <c r="L39" s="45"/>
    </row>
    <row r="42" spans="1:12" ht="15" customHeight="1" x14ac:dyDescent="0.25">
      <c r="A42" s="17" t="s">
        <v>50</v>
      </c>
    </row>
  </sheetData>
  <mergeCells count="6">
    <mergeCell ref="A27:L27"/>
    <mergeCell ref="A1:L1"/>
    <mergeCell ref="A2:L2"/>
    <mergeCell ref="A3:L3"/>
    <mergeCell ref="A4:L4"/>
    <mergeCell ref="A8:K8"/>
  </mergeCells>
  <pageMargins left="0.5" right="0.5" top="0.5" bottom="0.5" header="0" footer="0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zoomScaleNormal="100" workbookViewId="0">
      <selection sqref="A1:L1"/>
    </sheetView>
  </sheetViews>
  <sheetFormatPr defaultRowHeight="15" customHeight="1" x14ac:dyDescent="0.25"/>
  <cols>
    <col min="1" max="1" width="45.140625" style="17" bestFit="1" customWidth="1"/>
    <col min="2" max="3" width="17.7109375" style="17" customWidth="1"/>
    <col min="4" max="4" width="14.7109375" style="17" customWidth="1"/>
    <col min="5" max="5" width="15.7109375" style="17" customWidth="1"/>
    <col min="6" max="6" width="13.7109375" style="17" customWidth="1"/>
    <col min="7" max="7" width="12.7109375" style="17" customWidth="1"/>
    <col min="8" max="8" width="15.7109375" style="50" customWidth="1"/>
    <col min="9" max="9" width="13.7109375" style="50" customWidth="1"/>
    <col min="10" max="10" width="12.7109375" style="50" customWidth="1"/>
    <col min="11" max="11" width="15.7109375" style="50" customWidth="1"/>
    <col min="12" max="12" width="14.7109375" style="50" customWidth="1"/>
    <col min="13" max="16384" width="9.140625" style="17"/>
  </cols>
  <sheetData>
    <row r="1" spans="1:12" ht="21" x14ac:dyDescent="0.3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ht="18.75" x14ac:dyDescent="0.3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2" ht="18.75" x14ac:dyDescent="0.3">
      <c r="A3" s="71" t="s">
        <v>53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ht="18.75" x14ac:dyDescent="0.3">
      <c r="A4" s="71" t="s">
        <v>47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 ht="15" customHeight="1" x14ac:dyDescent="0.25">
      <c r="A5" s="18"/>
      <c r="B5" s="18"/>
      <c r="C5" s="18"/>
      <c r="D5" s="18"/>
      <c r="E5" s="18"/>
      <c r="F5" s="18"/>
      <c r="G5" s="18"/>
      <c r="H5" s="49"/>
      <c r="I5" s="49"/>
      <c r="J5" s="49"/>
      <c r="K5" s="49"/>
      <c r="L5" s="49"/>
    </row>
    <row r="7" spans="1:12" ht="15" customHeight="1" thickBot="1" x14ac:dyDescent="0.3"/>
    <row r="8" spans="1:12" ht="15" customHeight="1" thickBot="1" x14ac:dyDescent="0.3">
      <c r="A8" s="67" t="s">
        <v>2</v>
      </c>
      <c r="B8" s="68"/>
      <c r="C8" s="68"/>
      <c r="D8" s="68"/>
      <c r="E8" s="68"/>
      <c r="F8" s="68"/>
      <c r="G8" s="68"/>
      <c r="H8" s="68"/>
      <c r="I8" s="68"/>
      <c r="J8" s="68"/>
      <c r="K8" s="69"/>
      <c r="L8" s="57"/>
    </row>
    <row r="9" spans="1:12" ht="47.25" x14ac:dyDescent="0.25">
      <c r="A9" s="19" t="s">
        <v>10</v>
      </c>
      <c r="B9" s="20" t="s">
        <v>18</v>
      </c>
      <c r="C9" s="20" t="s">
        <v>19</v>
      </c>
      <c r="D9" s="20" t="s">
        <v>21</v>
      </c>
      <c r="E9" s="31" t="s">
        <v>22</v>
      </c>
      <c r="F9" s="20" t="s">
        <v>20</v>
      </c>
      <c r="G9" s="20" t="s">
        <v>23</v>
      </c>
      <c r="H9" s="31" t="s">
        <v>24</v>
      </c>
      <c r="I9" s="31" t="s">
        <v>25</v>
      </c>
      <c r="J9" s="31" t="s">
        <v>26</v>
      </c>
      <c r="K9" s="35" t="s">
        <v>27</v>
      </c>
    </row>
    <row r="10" spans="1:12" ht="15" customHeight="1" x14ac:dyDescent="0.25">
      <c r="A10" s="22" t="s">
        <v>7</v>
      </c>
      <c r="B10" s="23"/>
      <c r="C10" s="23"/>
      <c r="D10" s="23"/>
      <c r="E10" s="32"/>
      <c r="F10" s="23">
        <v>0.04</v>
      </c>
      <c r="G10" s="23"/>
      <c r="H10" s="32"/>
      <c r="I10" s="32"/>
      <c r="J10" s="32"/>
      <c r="K10" s="36"/>
    </row>
    <row r="11" spans="1:12" ht="15" customHeight="1" x14ac:dyDescent="0.25">
      <c r="A11" s="22" t="s">
        <v>8</v>
      </c>
      <c r="B11" s="23"/>
      <c r="C11" s="23"/>
      <c r="D11" s="23"/>
      <c r="E11" s="32"/>
      <c r="F11" s="23"/>
      <c r="G11" s="23">
        <v>0.04</v>
      </c>
      <c r="H11" s="32"/>
      <c r="I11" s="32"/>
      <c r="J11" s="32"/>
      <c r="K11" s="36"/>
    </row>
    <row r="12" spans="1:12" ht="15" customHeight="1" x14ac:dyDescent="0.25">
      <c r="A12" s="22" t="s">
        <v>9</v>
      </c>
      <c r="B12" s="23"/>
      <c r="C12" s="23"/>
      <c r="D12" s="23"/>
      <c r="E12" s="32"/>
      <c r="F12" s="23"/>
      <c r="G12" s="23"/>
      <c r="H12" s="32"/>
      <c r="I12" s="51">
        <v>0.622</v>
      </c>
      <c r="J12" s="51">
        <v>0.378</v>
      </c>
      <c r="K12" s="36"/>
    </row>
    <row r="13" spans="1:12" ht="15" customHeight="1" x14ac:dyDescent="0.25">
      <c r="A13" s="22"/>
      <c r="B13" s="24"/>
      <c r="C13" s="24"/>
      <c r="D13" s="24"/>
      <c r="E13" s="33"/>
      <c r="F13" s="24"/>
      <c r="G13" s="24"/>
      <c r="H13" s="33"/>
      <c r="I13" s="33"/>
      <c r="J13" s="33"/>
      <c r="K13" s="37"/>
    </row>
    <row r="14" spans="1:12" ht="15" customHeight="1" x14ac:dyDescent="0.25">
      <c r="A14" s="22" t="s">
        <v>6</v>
      </c>
      <c r="B14" s="25">
        <f>Mountaineer!$B$60-1</f>
        <v>921241504.62</v>
      </c>
      <c r="C14" s="25">
        <f>Mountaineer!$C$60</f>
        <v>820073653.45999992</v>
      </c>
      <c r="D14" s="25">
        <f>Mountaineer!$D$60</f>
        <v>14703193.75</v>
      </c>
      <c r="E14" s="34">
        <f>Mountaineer!$E$60</f>
        <v>86464658.409999996</v>
      </c>
      <c r="F14" s="25">
        <f>Mountaineer!$F$60</f>
        <v>3458586.43</v>
      </c>
      <c r="G14" s="25">
        <f>Mountaineer!$G$60</f>
        <v>0</v>
      </c>
      <c r="H14" s="34">
        <f>Mountaineer!$H$60</f>
        <v>83006071.979999989</v>
      </c>
      <c r="I14" s="34">
        <f>Mountaineer!$J$60</f>
        <v>0</v>
      </c>
      <c r="J14" s="34">
        <f>Mountaineer!$K$60</f>
        <v>0</v>
      </c>
      <c r="K14" s="38">
        <f>Mountaineer!$L$60</f>
        <v>83006071.979999989</v>
      </c>
    </row>
    <row r="15" spans="1:12" ht="15" customHeight="1" x14ac:dyDescent="0.25">
      <c r="A15" s="22"/>
      <c r="B15" s="25"/>
      <c r="C15" s="25"/>
      <c r="D15" s="25"/>
      <c r="E15" s="34"/>
      <c r="F15" s="25"/>
      <c r="G15" s="25"/>
      <c r="H15" s="34"/>
      <c r="I15" s="34"/>
      <c r="J15" s="34"/>
      <c r="K15" s="38"/>
    </row>
    <row r="16" spans="1:12" ht="15" customHeight="1" x14ac:dyDescent="0.25">
      <c r="A16" s="22" t="s">
        <v>5</v>
      </c>
      <c r="B16" s="25">
        <f>Wheeling!$B$60-1</f>
        <v>894878351.6500001</v>
      </c>
      <c r="C16" s="25">
        <f>Wheeling!$C$60</f>
        <v>803624615.28999996</v>
      </c>
      <c r="D16" s="25">
        <f>Wheeling!$D$60</f>
        <v>12802731.890000001</v>
      </c>
      <c r="E16" s="34">
        <f>Wheeling!$E$60</f>
        <v>78451005.470000029</v>
      </c>
      <c r="F16" s="25">
        <f>Wheeling!$F$60</f>
        <v>3138040.1799999992</v>
      </c>
      <c r="G16" s="25">
        <f>Wheeling!$G$60</f>
        <v>0</v>
      </c>
      <c r="H16" s="34">
        <f>Wheeling!$H$60</f>
        <v>75312965.290000007</v>
      </c>
      <c r="I16" s="34">
        <f>Wheeling!$J$60</f>
        <v>0</v>
      </c>
      <c r="J16" s="34">
        <f>Wheeling!$K$60</f>
        <v>0</v>
      </c>
      <c r="K16" s="38">
        <f>Wheeling!$L$60</f>
        <v>75312965.290000007</v>
      </c>
    </row>
    <row r="17" spans="1:12" ht="15" customHeight="1" x14ac:dyDescent="0.25">
      <c r="A17" s="22"/>
      <c r="B17" s="25"/>
      <c r="C17" s="25"/>
      <c r="D17" s="25"/>
      <c r="E17" s="34"/>
      <c r="F17" s="25"/>
      <c r="G17" s="25"/>
      <c r="H17" s="34"/>
      <c r="I17" s="34"/>
      <c r="J17" s="34"/>
      <c r="K17" s="38"/>
    </row>
    <row r="18" spans="1:12" ht="15" customHeight="1" x14ac:dyDescent="0.25">
      <c r="A18" s="22" t="s">
        <v>4</v>
      </c>
      <c r="B18" s="25">
        <f>'Mardi Gras'!$B$60</f>
        <v>586779294.84999979</v>
      </c>
      <c r="C18" s="25">
        <f>'Mardi Gras'!$C$60</f>
        <v>530820965.00100005</v>
      </c>
      <c r="D18" s="25">
        <f>'Mardi Gras'!$D$60</f>
        <v>5405046</v>
      </c>
      <c r="E18" s="34">
        <f>'Mardi Gras'!$E$60</f>
        <v>50553283.849000007</v>
      </c>
      <c r="F18" s="25">
        <f>'Mardi Gras'!$F$60</f>
        <v>1791316.35</v>
      </c>
      <c r="G18" s="25">
        <f>'Mardi Gras'!$G$60</f>
        <v>230814.95</v>
      </c>
      <c r="H18" s="34">
        <f>'Mardi Gras'!$H$60</f>
        <v>48531152.548999995</v>
      </c>
      <c r="I18" s="34">
        <f>'Mardi Gras'!$J$60+1</f>
        <v>260933.15999999997</v>
      </c>
      <c r="J18" s="34">
        <f>'Mardi Gras'!$K$60</f>
        <v>158572.91</v>
      </c>
      <c r="K18" s="38">
        <f>'Mardi Gras'!$L$60</f>
        <v>48111647.479000002</v>
      </c>
    </row>
    <row r="19" spans="1:12" ht="15" customHeight="1" x14ac:dyDescent="0.25">
      <c r="A19" s="22"/>
      <c r="B19" s="25"/>
      <c r="C19" s="25"/>
      <c r="D19" s="25"/>
      <c r="E19" s="34"/>
      <c r="F19" s="25"/>
      <c r="G19" s="25"/>
      <c r="H19" s="34"/>
      <c r="I19" s="34"/>
      <c r="J19" s="34"/>
      <c r="K19" s="38"/>
    </row>
    <row r="20" spans="1:12" ht="15" customHeight="1" x14ac:dyDescent="0.25">
      <c r="A20" s="22" t="s">
        <v>3</v>
      </c>
      <c r="B20" s="26">
        <f>'Charles Town'!$B$60</f>
        <v>3032773118.8199997</v>
      </c>
      <c r="C20" s="26">
        <f>'Charles Town'!$C$60</f>
        <v>2729259738.9300003</v>
      </c>
      <c r="D20" s="26">
        <f>'Charles Town'!$D$60</f>
        <v>44217345</v>
      </c>
      <c r="E20" s="47">
        <f>'Charles Town'!$E$60</f>
        <v>259296034.89000013</v>
      </c>
      <c r="F20" s="26">
        <f>'Charles Town'!$F$60</f>
        <v>5340672.8499999996</v>
      </c>
      <c r="G20" s="26">
        <f>'Charles Town'!$G$60</f>
        <v>5031168.55</v>
      </c>
      <c r="H20" s="47">
        <f>'Charles Town'!$H$60</f>
        <v>248924193.49000007</v>
      </c>
      <c r="I20" s="47">
        <f>'Charles Town'!$J$60</f>
        <v>7261047.79</v>
      </c>
      <c r="J20" s="47">
        <f>'Charles Town'!$K$60</f>
        <v>4412662.4899999993</v>
      </c>
      <c r="K20" s="48">
        <f>'Charles Town'!$L$60</f>
        <v>237250483.21000001</v>
      </c>
    </row>
    <row r="21" spans="1:12" ht="15" customHeight="1" x14ac:dyDescent="0.25">
      <c r="A21" s="22"/>
      <c r="B21" s="25"/>
      <c r="C21" s="25"/>
      <c r="D21" s="25"/>
      <c r="E21" s="34"/>
      <c r="F21" s="25"/>
      <c r="G21" s="25"/>
      <c r="H21" s="34"/>
      <c r="I21" s="34"/>
      <c r="J21" s="34"/>
      <c r="K21" s="38"/>
    </row>
    <row r="22" spans="1:12" ht="15" customHeight="1" thickBot="1" x14ac:dyDescent="0.3">
      <c r="A22" s="22"/>
      <c r="B22" s="34">
        <f>Total!$B$60-1</f>
        <v>5435672270.9400015</v>
      </c>
      <c r="C22" s="25">
        <f>Total!$C$60-1</f>
        <v>4883778971.6809988</v>
      </c>
      <c r="D22" s="25">
        <f>Total!$D$60</f>
        <v>77128316.640000001</v>
      </c>
      <c r="E22" s="34">
        <f>Total!$E$60-1</f>
        <v>474764981.61900014</v>
      </c>
      <c r="F22" s="25">
        <f>Total!$F$60-1</f>
        <v>13728614.809999997</v>
      </c>
      <c r="G22" s="25">
        <f>Total!$G$60</f>
        <v>5261983.5</v>
      </c>
      <c r="H22" s="34">
        <f>Total!$H$60</f>
        <v>455774383.30900007</v>
      </c>
      <c r="I22" s="34">
        <f>Total!$J$60+1</f>
        <v>7521980.9499999993</v>
      </c>
      <c r="J22" s="34">
        <f>Total!$K$60</f>
        <v>4571235.4000000004</v>
      </c>
      <c r="K22" s="46">
        <f>Total!$L$60-1</f>
        <v>443681166.95900017</v>
      </c>
    </row>
    <row r="23" spans="1:12" ht="15" customHeight="1" thickBot="1" x14ac:dyDescent="0.3">
      <c r="A23" s="27"/>
      <c r="B23" s="43"/>
      <c r="C23" s="43"/>
      <c r="D23" s="43"/>
      <c r="E23" s="43"/>
      <c r="F23" s="43"/>
      <c r="G23" s="43"/>
      <c r="H23" s="55"/>
      <c r="I23" s="55"/>
      <c r="J23" s="55"/>
      <c r="K23" s="58"/>
    </row>
    <row r="26" spans="1:12" ht="15" customHeight="1" thickBot="1" x14ac:dyDescent="0.3"/>
    <row r="27" spans="1:12" ht="15" customHeight="1" thickBot="1" x14ac:dyDescent="0.3">
      <c r="A27" s="67" t="s">
        <v>11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9"/>
    </row>
    <row r="28" spans="1:12" ht="47.25" x14ac:dyDescent="0.25">
      <c r="A28" s="19"/>
      <c r="B28" s="20" t="s">
        <v>12</v>
      </c>
      <c r="C28" s="20" t="s">
        <v>28</v>
      </c>
      <c r="D28" s="20" t="s">
        <v>23</v>
      </c>
      <c r="E28" s="20" t="s">
        <v>29</v>
      </c>
      <c r="F28" s="20" t="s">
        <v>30</v>
      </c>
      <c r="G28" s="20" t="s">
        <v>31</v>
      </c>
      <c r="H28" s="31" t="s">
        <v>32</v>
      </c>
      <c r="I28" s="31" t="s">
        <v>13</v>
      </c>
      <c r="J28" s="31" t="s">
        <v>44</v>
      </c>
      <c r="K28" s="31" t="s">
        <v>33</v>
      </c>
      <c r="L28" s="35" t="s">
        <v>35</v>
      </c>
    </row>
    <row r="29" spans="1:12" ht="15" customHeight="1" x14ac:dyDescent="0.25">
      <c r="A29" s="22"/>
      <c r="B29" s="29"/>
      <c r="C29" s="29"/>
      <c r="D29" s="29"/>
      <c r="E29" s="29"/>
      <c r="F29" s="29"/>
      <c r="G29" s="29"/>
      <c r="H29" s="53"/>
      <c r="I29" s="53"/>
      <c r="J29" s="53"/>
      <c r="K29" s="54"/>
      <c r="L29" s="59"/>
    </row>
    <row r="30" spans="1:12" ht="15" customHeight="1" x14ac:dyDescent="0.25">
      <c r="A30" s="22" t="s">
        <v>6</v>
      </c>
      <c r="B30" s="25">
        <f>Mountaineer!$M$60</f>
        <v>38597823.460000001</v>
      </c>
      <c r="C30" s="25">
        <f>Mountaineer!$N$60</f>
        <v>24901821.949999996</v>
      </c>
      <c r="D30" s="25">
        <f>Mountaineer!$O$60</f>
        <v>10666280.070000002</v>
      </c>
      <c r="E30" s="25">
        <f>Mountaineer!$P$60</f>
        <v>5229382.54</v>
      </c>
      <c r="F30" s="25">
        <f>Mountaineer!$Q$60</f>
        <v>830060.65999999992</v>
      </c>
      <c r="G30" s="25">
        <f>Mountaineer!$R$60</f>
        <v>560290.99</v>
      </c>
      <c r="H30" s="34">
        <f>Mountaineer!$S$60</f>
        <v>560290.99</v>
      </c>
      <c r="I30" s="34">
        <f>Mountaineer!$T$60</f>
        <v>1660121.3199999998</v>
      </c>
      <c r="J30" s="34">
        <v>0</v>
      </c>
      <c r="K30" s="34">
        <f>Mountaineer!$V$60</f>
        <v>1551.2486641260623</v>
      </c>
      <c r="L30" s="60">
        <f>Mountaineer!$W$60</f>
        <v>1058.4905660377358</v>
      </c>
    </row>
    <row r="31" spans="1:12" ht="15" customHeight="1" x14ac:dyDescent="0.25">
      <c r="A31" s="22"/>
      <c r="B31" s="25"/>
      <c r="C31" s="25"/>
      <c r="D31" s="25"/>
      <c r="E31" s="25"/>
      <c r="F31" s="25"/>
      <c r="G31" s="25"/>
      <c r="H31" s="34"/>
      <c r="I31" s="34"/>
      <c r="J31" s="34"/>
      <c r="K31" s="34"/>
      <c r="L31" s="60"/>
    </row>
    <row r="32" spans="1:12" ht="15" customHeight="1" x14ac:dyDescent="0.25">
      <c r="A32" s="22" t="s">
        <v>5</v>
      </c>
      <c r="B32" s="25">
        <f>Wheeling!$M$60-1</f>
        <v>35020527.899999991</v>
      </c>
      <c r="C32" s="25">
        <f>Wheeling!$N$60</f>
        <v>22593889.539999999</v>
      </c>
      <c r="D32" s="25">
        <f>Wheeling!$O$60</f>
        <v>9677716.1500000004</v>
      </c>
      <c r="E32" s="25">
        <f>Wheeling!$P$60</f>
        <v>4744716.82</v>
      </c>
      <c r="F32" s="25">
        <f>Wheeling!$Q$60</f>
        <v>753129.64000000025</v>
      </c>
      <c r="G32" s="25">
        <f>Wheeling!$R$60</f>
        <v>508362.48</v>
      </c>
      <c r="H32" s="34">
        <f>Wheeling!$S$60</f>
        <v>508362.48</v>
      </c>
      <c r="I32" s="34">
        <f>Wheeling!$T$60</f>
        <v>1137786.5800000003</v>
      </c>
      <c r="J32" s="34">
        <f>Wheeling!$U$60</f>
        <v>368472.70000000007</v>
      </c>
      <c r="K32" s="34">
        <f>Wheeling!$V$60</f>
        <v>1516.3678857603541</v>
      </c>
      <c r="L32" s="60">
        <f>Wheeling!$W$60</f>
        <v>982.90566037735846</v>
      </c>
    </row>
    <row r="33" spans="1:12" ht="15" customHeight="1" x14ac:dyDescent="0.25">
      <c r="A33" s="22"/>
      <c r="B33" s="25"/>
      <c r="C33" s="25"/>
      <c r="D33" s="25"/>
      <c r="E33" s="25"/>
      <c r="F33" s="25"/>
      <c r="G33" s="25"/>
      <c r="H33" s="34"/>
      <c r="I33" s="34"/>
      <c r="J33" s="34"/>
      <c r="K33" s="34"/>
      <c r="L33" s="60"/>
    </row>
    <row r="34" spans="1:12" ht="15" customHeight="1" x14ac:dyDescent="0.25">
      <c r="A34" s="22" t="s">
        <v>4</v>
      </c>
      <c r="B34" s="25">
        <f>'Mardi Gras'!$M$60</f>
        <v>22202016.529999997</v>
      </c>
      <c r="C34" s="25">
        <f>'Mardi Gras'!$N$60-1</f>
        <v>13300829.279999999</v>
      </c>
      <c r="D34" s="25">
        <f>'Mardi Gras'!$O$60-1</f>
        <v>7605726.4999999991</v>
      </c>
      <c r="E34" s="25">
        <f>'Mardi Gras'!$P$60</f>
        <v>2929094.0800000005</v>
      </c>
      <c r="F34" s="25">
        <f>'Mardi Gras'!$Q$60</f>
        <v>462238.81000000006</v>
      </c>
      <c r="G34" s="25">
        <f>'Mardi Gras'!$R$60</f>
        <v>324753.59999999992</v>
      </c>
      <c r="H34" s="34">
        <f>'Mardi Gras'!$S$60</f>
        <v>324753.59999999992</v>
      </c>
      <c r="I34" s="34">
        <f>'Mardi Gras'!$T$60</f>
        <v>711308.04999999993</v>
      </c>
      <c r="J34" s="34">
        <f>'Mardi Gras'!$U$60</f>
        <v>250925.03</v>
      </c>
      <c r="K34" s="34">
        <f>'Mardi Gras'!$V$60</f>
        <v>1421.9446714485678</v>
      </c>
      <c r="L34" s="60">
        <f>'Mardi Gras'!$W$60</f>
        <v>670.52830188679241</v>
      </c>
    </row>
    <row r="35" spans="1:12" ht="15" customHeight="1" x14ac:dyDescent="0.25">
      <c r="A35" s="22"/>
      <c r="B35" s="25"/>
      <c r="C35" s="25"/>
      <c r="D35" s="25"/>
      <c r="E35" s="25"/>
      <c r="F35" s="25"/>
      <c r="G35" s="25"/>
      <c r="H35" s="34"/>
      <c r="I35" s="34"/>
      <c r="J35" s="34"/>
      <c r="K35" s="34"/>
      <c r="L35" s="60"/>
    </row>
    <row r="36" spans="1:12" ht="15" customHeight="1" x14ac:dyDescent="0.25">
      <c r="A36" s="22" t="s">
        <v>3</v>
      </c>
      <c r="B36" s="26">
        <f>'Charles Town'!$M$60</f>
        <v>105593622.03</v>
      </c>
      <c r="C36" s="26">
        <f>'Charles Town'!$N$60</f>
        <v>39656127.149999999</v>
      </c>
      <c r="D36" s="26">
        <f>'Charles Town'!$O$60</f>
        <v>70095586.049999997</v>
      </c>
      <c r="E36" s="26">
        <f>'Charles Town'!$P$60-1</f>
        <v>12110067.879999999</v>
      </c>
      <c r="F36" s="26">
        <f>'Charles Town'!$Q$60</f>
        <v>1847187.8799999987</v>
      </c>
      <c r="G36" s="26">
        <f>'Charles Town'!$R$60</f>
        <v>1601440.7900000003</v>
      </c>
      <c r="H36" s="47">
        <f>'Charles Town'!$S$60</f>
        <v>1601440.7900000003</v>
      </c>
      <c r="I36" s="47">
        <f>'Charles Town'!$T$60</f>
        <v>2828536.5599999991</v>
      </c>
      <c r="J36" s="47">
        <f>'Charles Town'!$U$60</f>
        <v>1916473.0800000003</v>
      </c>
      <c r="K36" s="47">
        <f>'Charles Town'!$V$60</f>
        <v>2908.7564435922732</v>
      </c>
      <c r="L36" s="61">
        <f>'Charles Town'!$W$60</f>
        <v>1683.6226415094341</v>
      </c>
    </row>
    <row r="37" spans="1:12" ht="15" customHeight="1" x14ac:dyDescent="0.25">
      <c r="A37" s="22"/>
      <c r="B37" s="25"/>
      <c r="C37" s="25"/>
      <c r="D37" s="25"/>
      <c r="E37" s="25"/>
      <c r="F37" s="25"/>
      <c r="G37" s="25"/>
      <c r="H37" s="34"/>
      <c r="I37" s="34"/>
      <c r="J37" s="34"/>
      <c r="K37" s="34"/>
      <c r="L37" s="60"/>
    </row>
    <row r="38" spans="1:12" ht="15" customHeight="1" thickBot="1" x14ac:dyDescent="0.3">
      <c r="A38" s="22"/>
      <c r="B38" s="34">
        <f>Total!$M$60-1</f>
        <v>201413989.92000002</v>
      </c>
      <c r="C38" s="34">
        <f>Total!$N$60-1</f>
        <v>100452667.92000003</v>
      </c>
      <c r="D38" s="25">
        <f>Total!$O$60-1</f>
        <v>98045308.769999981</v>
      </c>
      <c r="E38" s="25">
        <f>Total!$P$60</f>
        <v>25013262.319999997</v>
      </c>
      <c r="F38" s="34">
        <f>Total!$Q$60+1</f>
        <v>3892617.9899999998</v>
      </c>
      <c r="G38" s="34">
        <f>Total!$R$60</f>
        <v>2994847.8600000017</v>
      </c>
      <c r="H38" s="34">
        <f>Total!$S$60</f>
        <v>2994847.8600000017</v>
      </c>
      <c r="I38" s="34">
        <f>Total!$T$60</f>
        <v>6337752.509999997</v>
      </c>
      <c r="J38" s="34">
        <f>Total!$U$60</f>
        <v>2535870.8100000005</v>
      </c>
      <c r="K38" s="62">
        <f>Total!$V$60</f>
        <v>7398.3176649272582</v>
      </c>
      <c r="L38" s="63">
        <f>Total!$W$60</f>
        <v>4395.5471698113206</v>
      </c>
    </row>
    <row r="39" spans="1:12" ht="15" customHeight="1" thickBot="1" x14ac:dyDescent="0.3">
      <c r="A39" s="27"/>
      <c r="B39" s="43"/>
      <c r="C39" s="43"/>
      <c r="D39" s="43"/>
      <c r="E39" s="43"/>
      <c r="F39" s="43"/>
      <c r="G39" s="43"/>
      <c r="H39" s="55"/>
      <c r="I39" s="55"/>
      <c r="J39" s="55"/>
      <c r="K39" s="56"/>
      <c r="L39" s="64"/>
    </row>
    <row r="42" spans="1:12" ht="15" customHeight="1" x14ac:dyDescent="0.25">
      <c r="A42" s="17" t="s">
        <v>51</v>
      </c>
      <c r="E42" s="50"/>
      <c r="F42" s="50"/>
      <c r="G42" s="50"/>
      <c r="L42" s="17"/>
    </row>
  </sheetData>
  <mergeCells count="6">
    <mergeCell ref="A27:L27"/>
    <mergeCell ref="A1:L1"/>
    <mergeCell ref="A2:L2"/>
    <mergeCell ref="A3:L3"/>
    <mergeCell ref="A4:L4"/>
    <mergeCell ref="A8:K8"/>
  </mergeCells>
  <pageMargins left="0.5" right="0.5" top="0.5" bottom="0.5" header="0" footer="0"/>
  <pageSetup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zoomScaleNormal="100" workbookViewId="0">
      <pane ySplit="3" topLeftCell="A28" activePane="bottomLeft" state="frozen"/>
      <selection pane="bottomLeft" activeCell="A60" sqref="A60"/>
    </sheetView>
  </sheetViews>
  <sheetFormatPr defaultRowHeight="15" customHeight="1" x14ac:dyDescent="0.25"/>
  <cols>
    <col min="1" max="1" width="13.7109375" style="2" customWidth="1"/>
    <col min="2" max="2" width="18.7109375" style="2" customWidth="1"/>
    <col min="3" max="3" width="16.5703125" style="2" customWidth="1"/>
    <col min="4" max="4" width="15.28515625" style="2" customWidth="1"/>
    <col min="5" max="5" width="17" style="2" customWidth="1"/>
    <col min="6" max="6" width="14.7109375" style="2" bestFit="1" customWidth="1"/>
    <col min="7" max="7" width="13.7109375" style="2" bestFit="1" customWidth="1"/>
    <col min="8" max="8" width="15.7109375" style="2" customWidth="1"/>
    <col min="9" max="9" width="1.42578125" style="2" hidden="1" customWidth="1"/>
    <col min="10" max="11" width="12.7109375" style="2" customWidth="1"/>
    <col min="12" max="12" width="16.5703125" style="2" customWidth="1"/>
    <col min="13" max="13" width="16.7109375" style="2" customWidth="1"/>
    <col min="14" max="14" width="15.7109375" style="2" customWidth="1"/>
    <col min="15" max="15" width="17.140625" style="2" customWidth="1"/>
    <col min="16" max="16" width="14.7109375" style="2" bestFit="1" customWidth="1"/>
    <col min="17" max="19" width="13.7109375" style="2" customWidth="1"/>
    <col min="20" max="20" width="14.5703125" style="2" customWidth="1"/>
    <col min="21" max="21" width="0.140625" style="2" customWidth="1"/>
    <col min="22" max="23" width="13.7109375" style="2" customWidth="1"/>
    <col min="24" max="16384" width="9.140625" style="2"/>
  </cols>
  <sheetData>
    <row r="1" spans="1:96" s="3" customFormat="1" ht="45" customHeight="1" x14ac:dyDescent="0.25">
      <c r="A1" s="3" t="s">
        <v>14</v>
      </c>
      <c r="B1" s="3" t="s">
        <v>18</v>
      </c>
      <c r="C1" s="3" t="s">
        <v>19</v>
      </c>
      <c r="D1" s="3" t="s">
        <v>21</v>
      </c>
      <c r="E1" s="3" t="s">
        <v>22</v>
      </c>
      <c r="F1" s="3" t="s">
        <v>20</v>
      </c>
      <c r="G1" s="3" t="s">
        <v>23</v>
      </c>
      <c r="H1" s="3" t="s">
        <v>24</v>
      </c>
      <c r="I1" s="3" t="s">
        <v>15</v>
      </c>
      <c r="J1" s="3" t="s">
        <v>25</v>
      </c>
      <c r="K1" s="3" t="s">
        <v>26</v>
      </c>
      <c r="L1" s="3" t="s">
        <v>27</v>
      </c>
      <c r="M1" s="3" t="s">
        <v>12</v>
      </c>
      <c r="N1" s="3" t="s">
        <v>28</v>
      </c>
      <c r="O1" s="3" t="s">
        <v>23</v>
      </c>
      <c r="P1" s="3" t="s">
        <v>29</v>
      </c>
      <c r="Q1" s="3" t="s">
        <v>30</v>
      </c>
      <c r="R1" s="3" t="s">
        <v>31</v>
      </c>
      <c r="S1" s="3" t="s">
        <v>32</v>
      </c>
      <c r="T1" s="3" t="s">
        <v>43</v>
      </c>
      <c r="V1" s="3" t="s">
        <v>33</v>
      </c>
      <c r="W1" s="3" t="s">
        <v>36</v>
      </c>
    </row>
    <row r="2" spans="1:96" s="4" customFormat="1" ht="15" customHeight="1" x14ac:dyDescent="0.25">
      <c r="A2" s="4" t="s">
        <v>46</v>
      </c>
      <c r="B2" s="5">
        <v>813677772.15000021</v>
      </c>
      <c r="C2" s="5">
        <v>723204731.86000001</v>
      </c>
      <c r="D2" s="5">
        <v>12735102</v>
      </c>
      <c r="E2" s="5">
        <v>77737938.289999992</v>
      </c>
      <c r="F2" s="5">
        <v>3109517.4900000007</v>
      </c>
      <c r="G2" s="5">
        <v>0</v>
      </c>
      <c r="H2" s="5">
        <v>74628420.799999997</v>
      </c>
      <c r="I2" s="5">
        <v>0</v>
      </c>
      <c r="J2" s="5">
        <v>0</v>
      </c>
      <c r="K2" s="5">
        <v>0</v>
      </c>
      <c r="L2" s="5">
        <v>74628420.799999997</v>
      </c>
      <c r="M2" s="5">
        <v>34702215.679999992</v>
      </c>
      <c r="N2" s="5">
        <v>22388526.359999996</v>
      </c>
      <c r="O2" s="5">
        <v>9589752.0900000017</v>
      </c>
      <c r="P2" s="5">
        <v>4701590.51</v>
      </c>
      <c r="Q2" s="5">
        <v>746284.18000000028</v>
      </c>
      <c r="R2" s="5">
        <v>503741.80999999988</v>
      </c>
      <c r="S2" s="5">
        <v>503741.80999999988</v>
      </c>
      <c r="T2" s="5">
        <v>1492568.3600000006</v>
      </c>
      <c r="U2" s="6"/>
      <c r="V2" s="40">
        <v>1625.64</v>
      </c>
      <c r="W2" s="10">
        <v>938</v>
      </c>
    </row>
    <row r="3" spans="1:96" s="4" customFormat="1" ht="15" customHeight="1" x14ac:dyDescent="0.25">
      <c r="U3" s="39"/>
    </row>
    <row r="4" spans="1:96" s="4" customFormat="1" ht="15" customHeight="1" x14ac:dyDescent="0.25">
      <c r="A4" s="72" t="s">
        <v>47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</row>
    <row r="5" spans="1:96" s="42" customFormat="1" ht="15" customHeight="1" x14ac:dyDescent="0.25"/>
    <row r="6" spans="1:96" ht="15" customHeight="1" x14ac:dyDescent="0.25">
      <c r="A6" s="8" t="s">
        <v>48</v>
      </c>
      <c r="B6" s="9">
        <v>10483217.5</v>
      </c>
      <c r="C6" s="9">
        <v>9274700.2200000007</v>
      </c>
      <c r="D6" s="9">
        <v>166536</v>
      </c>
      <c r="E6" s="9">
        <f t="shared" ref="E6" si="0">B6-C6-D6</f>
        <v>1041981.2799999993</v>
      </c>
      <c r="F6" s="9">
        <f>ROUND(E6*0.04,2)</f>
        <v>41679.25</v>
      </c>
      <c r="G6" s="9">
        <f t="shared" ref="G6" si="1">ROUND(E6*0,2)</f>
        <v>0</v>
      </c>
      <c r="H6" s="9">
        <f t="shared" ref="H6" si="2">E6-F6-G6</f>
        <v>1000302.0299999993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9">
        <f t="shared" ref="L6" si="6">IF(J6+K6=I6,H6-I6,"ERROR")</f>
        <v>1000302.0299999993</v>
      </c>
      <c r="M6" s="9">
        <f t="shared" ref="M6" si="7">ROUND(L6*0.465,2)</f>
        <v>465140.44</v>
      </c>
      <c r="N6" s="9">
        <f>ROUND(L6*0.3,2)</f>
        <v>300090.61</v>
      </c>
      <c r="O6" s="9">
        <f>ROUND(L6*0.1285,2)</f>
        <v>128538.81</v>
      </c>
      <c r="P6" s="9">
        <f t="shared" ref="P6" si="8">ROUND((L6*0.07)*0.9,2)</f>
        <v>63019.03</v>
      </c>
      <c r="Q6" s="9">
        <f>ROUND(L6*0.01,2)</f>
        <v>10003.02</v>
      </c>
      <c r="R6" s="9">
        <f t="shared" ref="R6" si="9">ROUND((L6*0.0075)*0.9,2)</f>
        <v>6752.04</v>
      </c>
      <c r="S6" s="9">
        <f t="shared" ref="S6" si="10">ROUND((L6*0.0075)*0.9,2)</f>
        <v>6752.04</v>
      </c>
      <c r="T6" s="9">
        <f>ROUND(L6*0.02,2)</f>
        <v>20006.04</v>
      </c>
      <c r="U6" s="9"/>
      <c r="V6" s="40">
        <f t="shared" ref="V6" si="11">E6/W6</f>
        <v>963.01412199630249</v>
      </c>
      <c r="W6" s="10">
        <v>1082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v>44387</v>
      </c>
      <c r="B7" s="9">
        <v>20708933.43</v>
      </c>
      <c r="C7" s="9">
        <v>18503575.129999999</v>
      </c>
      <c r="D7" s="9">
        <v>296446</v>
      </c>
      <c r="E7" s="9">
        <f t="shared" ref="E7" si="12">B7-C7-D7</f>
        <v>1908912.3000000007</v>
      </c>
      <c r="F7" s="9">
        <f>ROUND(E7*0.04,2)</f>
        <v>76356.490000000005</v>
      </c>
      <c r="G7" s="9">
        <f t="shared" ref="G7" si="13">ROUND(E7*0,2)</f>
        <v>0</v>
      </c>
      <c r="H7" s="9">
        <f t="shared" ref="H7" si="14">E7-F7-G7</f>
        <v>1832555.8100000008</v>
      </c>
      <c r="I7" s="9">
        <f t="shared" ref="I7" si="15">ROUND(H7*0,2)</f>
        <v>0</v>
      </c>
      <c r="J7" s="9">
        <f t="shared" ref="J7" si="16">ROUND((I7*0.58)+((I7*0.42)*0.1),2)</f>
        <v>0</v>
      </c>
      <c r="K7" s="9">
        <f t="shared" ref="K7" si="17">ROUND((I7*0.42)*0.9,2)</f>
        <v>0</v>
      </c>
      <c r="L7" s="9">
        <f t="shared" ref="L7" si="18">IF(J7+K7=I7,H7-I7,"ERROR")</f>
        <v>1832555.8100000008</v>
      </c>
      <c r="M7" s="9">
        <f t="shared" ref="M7" si="19">ROUND(L7*0.465,2)</f>
        <v>852138.45</v>
      </c>
      <c r="N7" s="9">
        <f>ROUND(L7*0.3,2)-0.01</f>
        <v>549766.73</v>
      </c>
      <c r="O7" s="9">
        <f>ROUND(L7*0.1285,2)+0.01</f>
        <v>235483.43000000002</v>
      </c>
      <c r="P7" s="9">
        <f t="shared" ref="P7" si="20">ROUND((L7*0.07)*0.9,2)</f>
        <v>115451.02</v>
      </c>
      <c r="Q7" s="9">
        <f>ROUND(L7*0.01,2)</f>
        <v>18325.560000000001</v>
      </c>
      <c r="R7" s="9">
        <f t="shared" ref="R7" si="21">ROUND((L7*0.0075)*0.9,2)</f>
        <v>12369.75</v>
      </c>
      <c r="S7" s="9">
        <f t="shared" ref="S7" si="22">ROUND((L7*0.0075)*0.9,2)</f>
        <v>12369.75</v>
      </c>
      <c r="T7" s="9">
        <f>ROUND(L7*0.02,2)</f>
        <v>36651.120000000003</v>
      </c>
      <c r="U7" s="9"/>
      <c r="V7" s="40">
        <f t="shared" ref="V7" si="23">E7/W7</f>
        <v>1756.1290708371671</v>
      </c>
      <c r="W7" s="10">
        <v>1087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 t="shared" ref="A8:A13" si="24">A7+7</f>
        <v>44394</v>
      </c>
      <c r="B8" s="9">
        <v>19139676.02</v>
      </c>
      <c r="C8" s="9">
        <v>16911641.240000002</v>
      </c>
      <c r="D8" s="9">
        <v>296286</v>
      </c>
      <c r="E8" s="9">
        <f t="shared" ref="E8" si="25">B8-C8-D8</f>
        <v>1931748.7799999975</v>
      </c>
      <c r="F8" s="9">
        <f>ROUND(E8*0.04,2)+0.01</f>
        <v>77269.959999999992</v>
      </c>
      <c r="G8" s="9">
        <f t="shared" ref="G8" si="26">ROUND(E8*0,2)</f>
        <v>0</v>
      </c>
      <c r="H8" s="9">
        <f t="shared" ref="H8" si="27">E8-F8-G8</f>
        <v>1854478.8199999975</v>
      </c>
      <c r="I8" s="9">
        <f t="shared" ref="I8" si="28">ROUND(H8*0,2)</f>
        <v>0</v>
      </c>
      <c r="J8" s="9">
        <f t="shared" ref="J8" si="29">ROUND((I8*0.58)+((I8*0.42)*0.1),2)</f>
        <v>0</v>
      </c>
      <c r="K8" s="9">
        <f t="shared" ref="K8" si="30">ROUND((I8*0.42)*0.9,2)</f>
        <v>0</v>
      </c>
      <c r="L8" s="9">
        <f t="shared" ref="L8" si="31">IF(J8+K8=I8,H8-I8,"ERROR")</f>
        <v>1854478.8199999975</v>
      </c>
      <c r="M8" s="9">
        <f t="shared" ref="M8" si="32">ROUND(L8*0.465,2)</f>
        <v>862332.65</v>
      </c>
      <c r="N8" s="9">
        <f>ROUND(L8*0.3,2)+0.04</f>
        <v>556343.69000000006</v>
      </c>
      <c r="O8" s="9">
        <f>ROUND(L8*0.1285,2)-0.02</f>
        <v>238300.51</v>
      </c>
      <c r="P8" s="9">
        <f t="shared" ref="P8" si="33">ROUND((L8*0.07)*0.9,2)</f>
        <v>116832.17</v>
      </c>
      <c r="Q8" s="9">
        <f>ROUND(L8*0.01,2)-0.01</f>
        <v>18544.780000000002</v>
      </c>
      <c r="R8" s="9">
        <f t="shared" ref="R8" si="34">ROUND((L8*0.0075)*0.9,2)</f>
        <v>12517.73</v>
      </c>
      <c r="S8" s="9">
        <f t="shared" ref="S8" si="35">ROUND((L8*0.0075)*0.9,2)</f>
        <v>12517.73</v>
      </c>
      <c r="T8" s="9">
        <f>ROUND(L8*0.02,2)-0.02</f>
        <v>37089.560000000005</v>
      </c>
      <c r="U8" s="9"/>
      <c r="V8" s="40">
        <f t="shared" ref="V8" si="36">E8/W8</f>
        <v>1788.6562777777754</v>
      </c>
      <c r="W8" s="10">
        <v>1080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 t="shared" si="24"/>
        <v>44401</v>
      </c>
      <c r="B9" s="9">
        <v>18942972.670000002</v>
      </c>
      <c r="C9" s="9">
        <v>16909382.859999999</v>
      </c>
      <c r="D9" s="9">
        <v>276857</v>
      </c>
      <c r="E9" s="9">
        <f t="shared" ref="E9" si="37">B9-C9-D9</f>
        <v>1756732.8100000024</v>
      </c>
      <c r="F9" s="9">
        <f>ROUND(E9*0.04,2)+0.01</f>
        <v>70269.319999999992</v>
      </c>
      <c r="G9" s="9">
        <f t="shared" ref="G9" si="38">ROUND(E9*0,2)</f>
        <v>0</v>
      </c>
      <c r="H9" s="9">
        <f t="shared" ref="H9" si="39">E9-F9-G9</f>
        <v>1686463.4900000023</v>
      </c>
      <c r="I9" s="9">
        <f t="shared" ref="I9" si="40">ROUND(H9*0,2)</f>
        <v>0</v>
      </c>
      <c r="J9" s="9">
        <f t="shared" ref="J9" si="41">ROUND((I9*0.58)+((I9*0.42)*0.1),2)</f>
        <v>0</v>
      </c>
      <c r="K9" s="9">
        <f t="shared" ref="K9" si="42">ROUND((I9*0.42)*0.9,2)</f>
        <v>0</v>
      </c>
      <c r="L9" s="9">
        <f t="shared" ref="L9" si="43">IF(J9+K9=I9,H9-I9,"ERROR")</f>
        <v>1686463.4900000023</v>
      </c>
      <c r="M9" s="9">
        <f t="shared" ref="M9" si="44">ROUND(L9*0.465,2)</f>
        <v>784205.52</v>
      </c>
      <c r="N9" s="9">
        <f>ROUND(L9*0.3,2)-0.03</f>
        <v>505939.01999999996</v>
      </c>
      <c r="O9" s="9">
        <f>ROUND(L9*0.1285,2)+0.01</f>
        <v>216710.57</v>
      </c>
      <c r="P9" s="9">
        <f t="shared" ref="P9" si="45">ROUND((L9*0.07)*0.9,2)</f>
        <v>106247.2</v>
      </c>
      <c r="Q9" s="9">
        <f>ROUND(L9*0.01,2)+0.01</f>
        <v>16864.64</v>
      </c>
      <c r="R9" s="9">
        <f t="shared" ref="R9" si="46">ROUND((L9*0.0075)*0.9,2)</f>
        <v>11383.63</v>
      </c>
      <c r="S9" s="9">
        <f t="shared" ref="S9" si="47">ROUND((L9*0.0075)*0.9,2)</f>
        <v>11383.63</v>
      </c>
      <c r="T9" s="9">
        <f>ROUND(L9*0.02,2)+0.01</f>
        <v>33729.279999999999</v>
      </c>
      <c r="U9" s="9"/>
      <c r="V9" s="40">
        <f t="shared" ref="V9" si="48">E9/W9</f>
        <v>1626.604453703706</v>
      </c>
      <c r="W9" s="10">
        <v>1080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 t="shared" si="24"/>
        <v>44408</v>
      </c>
      <c r="B10" s="9">
        <v>18862224.609999999</v>
      </c>
      <c r="C10" s="9">
        <v>16762903.49</v>
      </c>
      <c r="D10" s="9">
        <v>278505</v>
      </c>
      <c r="E10" s="9">
        <f t="shared" ref="E10" si="49">B10-C10-D10</f>
        <v>1820816.1199999992</v>
      </c>
      <c r="F10" s="9">
        <f>ROUND(E10*0.04,2)</f>
        <v>72832.639999999999</v>
      </c>
      <c r="G10" s="9">
        <f t="shared" ref="G10" si="50">ROUND(E10*0,2)</f>
        <v>0</v>
      </c>
      <c r="H10" s="9">
        <f t="shared" ref="H10" si="51">E10-F10-G10</f>
        <v>1747983.4799999993</v>
      </c>
      <c r="I10" s="9">
        <f t="shared" ref="I10" si="52">ROUND(H10*0,2)</f>
        <v>0</v>
      </c>
      <c r="J10" s="9">
        <f t="shared" ref="J10" si="53">ROUND((I10*0.58)+((I10*0.42)*0.1),2)</f>
        <v>0</v>
      </c>
      <c r="K10" s="9">
        <f t="shared" ref="K10" si="54">ROUND((I10*0.42)*0.9,2)</f>
        <v>0</v>
      </c>
      <c r="L10" s="9">
        <f t="shared" ref="L10" si="55">IF(J10+K10=I10,H10-I10,"ERROR")</f>
        <v>1747983.4799999993</v>
      </c>
      <c r="M10" s="9">
        <f t="shared" ref="M10" si="56">ROUND(L10*0.465,2)</f>
        <v>812812.32</v>
      </c>
      <c r="N10" s="9">
        <f>ROUND(L10*0.3,2)-0.03</f>
        <v>524395.01</v>
      </c>
      <c r="O10" s="9">
        <f>ROUND(L10*0.1285,2)+0.01</f>
        <v>224615.89</v>
      </c>
      <c r="P10" s="9">
        <f t="shared" ref="P10" si="57">ROUND((L10*0.07)*0.9,2)</f>
        <v>110122.96</v>
      </c>
      <c r="Q10" s="9">
        <f>ROUND(L10*0.01,2)+0.01</f>
        <v>17479.84</v>
      </c>
      <c r="R10" s="9">
        <f t="shared" ref="R10" si="58">ROUND((L10*0.0075)*0.9,2)</f>
        <v>11798.89</v>
      </c>
      <c r="S10" s="9">
        <f t="shared" ref="S10" si="59">ROUND((L10*0.0075)*0.9,2)</f>
        <v>11798.89</v>
      </c>
      <c r="T10" s="9">
        <f>ROUND(L10*0.02,2)+0.01</f>
        <v>34959.68</v>
      </c>
      <c r="U10" s="9"/>
      <c r="V10" s="40">
        <f t="shared" ref="V10" si="60">E10/W10</f>
        <v>1673.5442279411757</v>
      </c>
      <c r="W10" s="10">
        <v>1088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 t="shared" si="24"/>
        <v>44415</v>
      </c>
      <c r="B11" s="9">
        <v>19309848.16</v>
      </c>
      <c r="C11" s="9">
        <v>17231988.719999999</v>
      </c>
      <c r="D11" s="9">
        <v>308017</v>
      </c>
      <c r="E11" s="9">
        <f t="shared" ref="E11" si="61">B11-C11-D11</f>
        <v>1769842.4400000013</v>
      </c>
      <c r="F11" s="9">
        <f>ROUND(E11*0.04,2)</f>
        <v>70793.7</v>
      </c>
      <c r="G11" s="9">
        <f t="shared" ref="G11" si="62">ROUND(E11*0,2)</f>
        <v>0</v>
      </c>
      <c r="H11" s="9">
        <f t="shared" ref="H11" si="63">E11-F11-G11</f>
        <v>1699048.7400000014</v>
      </c>
      <c r="I11" s="9">
        <f t="shared" ref="I11" si="64">ROUND(H11*0,2)</f>
        <v>0</v>
      </c>
      <c r="J11" s="9">
        <f t="shared" ref="J11" si="65">ROUND((I11*0.58)+((I11*0.42)*0.1),2)</f>
        <v>0</v>
      </c>
      <c r="K11" s="9">
        <f t="shared" ref="K11" si="66">ROUND((I11*0.42)*0.9,2)</f>
        <v>0</v>
      </c>
      <c r="L11" s="9">
        <f t="shared" ref="L11" si="67">IF(J11+K11=I11,H11-I11,"ERROR")</f>
        <v>1699048.7400000014</v>
      </c>
      <c r="M11" s="9">
        <f t="shared" ref="M11" si="68">ROUND(L11*0.465,2)</f>
        <v>790057.66</v>
      </c>
      <c r="N11" s="9">
        <f>ROUND(L11*0.3,2)+0.04</f>
        <v>509714.66</v>
      </c>
      <c r="O11" s="9">
        <f>ROUND(L11*0.1285,2)-0.01</f>
        <v>218327.75</v>
      </c>
      <c r="P11" s="9">
        <f t="shared" ref="P11" si="69">ROUND((L11*0.07)*0.9,2)</f>
        <v>107040.07</v>
      </c>
      <c r="Q11" s="9">
        <f>ROUND(L11*0.01,2)-0.01</f>
        <v>16990.480000000003</v>
      </c>
      <c r="R11" s="9">
        <f t="shared" ref="R11" si="70">ROUND((L11*0.0075)*0.9,2)</f>
        <v>11468.58</v>
      </c>
      <c r="S11" s="9">
        <f t="shared" ref="S11" si="71">ROUND((L11*0.0075)*0.9,2)</f>
        <v>11468.58</v>
      </c>
      <c r="T11" s="9">
        <f>ROUND(L11*0.02,2)-0.01</f>
        <v>33980.959999999999</v>
      </c>
      <c r="U11" s="9"/>
      <c r="V11" s="40">
        <f t="shared" ref="V11" si="72">E11/W11</f>
        <v>1623.7086605504599</v>
      </c>
      <c r="W11" s="10">
        <v>1090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 t="shared" si="24"/>
        <v>44422</v>
      </c>
      <c r="B12" s="9">
        <v>18754729.239999998</v>
      </c>
      <c r="C12" s="9">
        <v>16566683.020000001</v>
      </c>
      <c r="D12" s="9">
        <v>306881</v>
      </c>
      <c r="E12" s="9">
        <f t="shared" ref="E12" si="73">B12-C12-D12</f>
        <v>1881165.2199999969</v>
      </c>
      <c r="F12" s="9">
        <f>ROUND(E12*0.04,2)-0.01</f>
        <v>75246.600000000006</v>
      </c>
      <c r="G12" s="9">
        <f t="shared" ref="G12" si="74">ROUND(E12*0,2)</f>
        <v>0</v>
      </c>
      <c r="H12" s="9">
        <f t="shared" ref="H12" si="75">E12-F12-G12</f>
        <v>1805918.6199999969</v>
      </c>
      <c r="I12" s="9">
        <f t="shared" ref="I12" si="76">ROUND(H12*0,2)</f>
        <v>0</v>
      </c>
      <c r="J12" s="9">
        <f t="shared" ref="J12" si="77">ROUND((I12*0.58)+((I12*0.42)*0.1),2)</f>
        <v>0</v>
      </c>
      <c r="K12" s="9">
        <f t="shared" ref="K12" si="78">ROUND((I12*0.42)*0.9,2)</f>
        <v>0</v>
      </c>
      <c r="L12" s="9">
        <f t="shared" ref="L12" si="79">IF(J12+K12=I12,H12-I12,"ERROR")</f>
        <v>1805918.6199999969</v>
      </c>
      <c r="M12" s="9">
        <f t="shared" ref="M12" si="80">ROUND(L12*0.465,2)</f>
        <v>839752.16</v>
      </c>
      <c r="N12" s="9">
        <f>ROUND(L12*0.3,2)+0.04</f>
        <v>541775.63</v>
      </c>
      <c r="O12" s="9">
        <f>ROUND(L12*0.1285,2)-0.02</f>
        <v>232060.52000000002</v>
      </c>
      <c r="P12" s="9">
        <f t="shared" ref="P12" si="81">ROUND((L12*0.07)*0.9,2)</f>
        <v>113772.87</v>
      </c>
      <c r="Q12" s="9">
        <f>ROUND(L12*0.01,2)-0.01</f>
        <v>18059.18</v>
      </c>
      <c r="R12" s="9">
        <f t="shared" ref="R12" si="82">ROUND((L12*0.0075)*0.9,2)</f>
        <v>12189.95</v>
      </c>
      <c r="S12" s="9">
        <f t="shared" ref="S12" si="83">ROUND((L12*0.0075)*0.9,2)</f>
        <v>12189.95</v>
      </c>
      <c r="T12" s="9">
        <f>ROUND(L12*0.02,2)-0.01</f>
        <v>36118.36</v>
      </c>
      <c r="U12" s="9"/>
      <c r="V12" s="40">
        <f t="shared" ref="V12" si="84">E12/W12</f>
        <v>1729.0121507352912</v>
      </c>
      <c r="W12" s="10">
        <v>1088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 t="shared" si="24"/>
        <v>44429</v>
      </c>
      <c r="B13" s="9">
        <v>18257483.859999999</v>
      </c>
      <c r="C13" s="9">
        <v>16212244.77</v>
      </c>
      <c r="D13" s="9">
        <v>311724</v>
      </c>
      <c r="E13" s="9">
        <f t="shared" ref="E13" si="85">B13-C13-D13</f>
        <v>1733515.0899999999</v>
      </c>
      <c r="F13" s="9">
        <f>ROUND(E13*0.04,2)</f>
        <v>69340.600000000006</v>
      </c>
      <c r="G13" s="9">
        <f t="shared" ref="G13" si="86">ROUND(E13*0,2)</f>
        <v>0</v>
      </c>
      <c r="H13" s="9">
        <f t="shared" ref="H13" si="87">E13-F13-G13</f>
        <v>1664174.4899999998</v>
      </c>
      <c r="I13" s="9">
        <f t="shared" ref="I13" si="88">ROUND(H13*0,2)</f>
        <v>0</v>
      </c>
      <c r="J13" s="9">
        <f t="shared" ref="J13" si="89">ROUND((I13*0.58)+((I13*0.42)*0.1),2)</f>
        <v>0</v>
      </c>
      <c r="K13" s="9">
        <f t="shared" ref="K13" si="90">ROUND((I13*0.42)*0.9,2)</f>
        <v>0</v>
      </c>
      <c r="L13" s="9">
        <f t="shared" ref="L13" si="91">IF(J13+K13=I13,H13-I13,"ERROR")</f>
        <v>1664174.4899999998</v>
      </c>
      <c r="M13" s="9">
        <f t="shared" ref="M13" si="92">ROUND(L13*0.465,2)</f>
        <v>773841.14</v>
      </c>
      <c r="N13" s="9">
        <f>ROUND(L13*0.3,2)+0.03</f>
        <v>499252.38</v>
      </c>
      <c r="O13" s="9">
        <f>ROUND(L13*0.1285,2)-0.02</f>
        <v>213846.40000000002</v>
      </c>
      <c r="P13" s="9">
        <f t="shared" ref="P13" si="93">ROUND((L13*0.07)*0.9,2)</f>
        <v>104842.99</v>
      </c>
      <c r="Q13" s="9">
        <f>ROUND(L13*0.01,2)</f>
        <v>16641.740000000002</v>
      </c>
      <c r="R13" s="9">
        <f t="shared" ref="R13" si="94">ROUND((L13*0.0075)*0.9,2)</f>
        <v>11233.18</v>
      </c>
      <c r="S13" s="9">
        <f t="shared" ref="S13" si="95">ROUND((L13*0.0075)*0.9,2)</f>
        <v>11233.18</v>
      </c>
      <c r="T13" s="9">
        <f>ROUND(L13*0.02,2)-0.01</f>
        <v>33283.479999999996</v>
      </c>
      <c r="U13" s="9"/>
      <c r="V13" s="40">
        <f t="shared" ref="V13" si="96">E13/W13</f>
        <v>1587.468031135531</v>
      </c>
      <c r="W13" s="10">
        <v>1092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 t="shared" ref="A14:A57" si="97">A13+7</f>
        <v>44436</v>
      </c>
      <c r="B14" s="9">
        <v>18180094.469999999</v>
      </c>
      <c r="C14" s="9">
        <v>16200238.23</v>
      </c>
      <c r="D14" s="9">
        <v>315187</v>
      </c>
      <c r="E14" s="9">
        <f t="shared" ref="E14" si="98">B14-C14-D14</f>
        <v>1664669.2399999984</v>
      </c>
      <c r="F14" s="9">
        <f>ROUND(E14*0.04,2)-0.02</f>
        <v>66586.75</v>
      </c>
      <c r="G14" s="9">
        <f t="shared" ref="G14" si="99">ROUND(E14*0,2)</f>
        <v>0</v>
      </c>
      <c r="H14" s="9">
        <f t="shared" ref="H14" si="100">E14-F14-G14</f>
        <v>1598082.4899999984</v>
      </c>
      <c r="I14" s="9">
        <f t="shared" ref="I14" si="101">ROUND(H14*0,2)</f>
        <v>0</v>
      </c>
      <c r="J14" s="9">
        <f t="shared" ref="J14" si="102">ROUND((I14*0.58)+((I14*0.42)*0.1),2)</f>
        <v>0</v>
      </c>
      <c r="K14" s="9">
        <f t="shared" ref="K14" si="103">ROUND((I14*0.42)*0.9,2)</f>
        <v>0</v>
      </c>
      <c r="L14" s="9">
        <f t="shared" ref="L14" si="104">IF(J14+K14=I14,H14-I14,"ERROR")</f>
        <v>1598082.4899999984</v>
      </c>
      <c r="M14" s="9">
        <f t="shared" ref="M14" si="105">ROUND(L14*0.465,2)</f>
        <v>743108.36</v>
      </c>
      <c r="N14" s="9">
        <f>ROUND(L14*0.3,2)+0.03</f>
        <v>479424.78</v>
      </c>
      <c r="O14" s="9">
        <f>ROUND(L14*0.1285,2)-0.03</f>
        <v>205353.57</v>
      </c>
      <c r="P14" s="9">
        <f t="shared" ref="P14" si="106">ROUND((L14*0.07)*0.9,2)</f>
        <v>100679.2</v>
      </c>
      <c r="Q14" s="9">
        <f>ROUND(L14*0.01,2)</f>
        <v>15980.82</v>
      </c>
      <c r="R14" s="9">
        <f t="shared" ref="R14" si="107">ROUND((L14*0.0075)*0.9,2)</f>
        <v>10787.06</v>
      </c>
      <c r="S14" s="9">
        <f t="shared" ref="S14" si="108">ROUND((L14*0.0075)*0.9,2)</f>
        <v>10787.06</v>
      </c>
      <c r="T14" s="9">
        <f>ROUND(L14*0.02,2)-0.01</f>
        <v>31961.640000000003</v>
      </c>
      <c r="U14" s="9"/>
      <c r="V14" s="40">
        <f t="shared" ref="V14" si="109">E14/W14</f>
        <v>1523.0276669716361</v>
      </c>
      <c r="W14" s="10">
        <v>1093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 t="shared" si="97"/>
        <v>44443</v>
      </c>
      <c r="B15" s="9">
        <v>18995793.060000002</v>
      </c>
      <c r="C15" s="9">
        <v>16884323.460000001</v>
      </c>
      <c r="D15" s="9">
        <v>319923</v>
      </c>
      <c r="E15" s="9">
        <f t="shared" ref="E15" si="110">B15-C15-D15</f>
        <v>1791546.6000000015</v>
      </c>
      <c r="F15" s="9">
        <f>ROUND(E15*0.04,2)</f>
        <v>71661.86</v>
      </c>
      <c r="G15" s="9">
        <f t="shared" ref="G15" si="111">ROUND(E15*0,2)</f>
        <v>0</v>
      </c>
      <c r="H15" s="9">
        <f t="shared" ref="H15" si="112">E15-F15-G15</f>
        <v>1719884.7400000014</v>
      </c>
      <c r="I15" s="9">
        <f t="shared" ref="I15" si="113">ROUND(H15*0,2)</f>
        <v>0</v>
      </c>
      <c r="J15" s="9">
        <f t="shared" ref="J15" si="114">ROUND((I15*0.58)+((I15*0.42)*0.1),2)</f>
        <v>0</v>
      </c>
      <c r="K15" s="9">
        <f t="shared" ref="K15" si="115">ROUND((I15*0.42)*0.9,2)</f>
        <v>0</v>
      </c>
      <c r="L15" s="9">
        <f t="shared" ref="L15" si="116">IF(J15+K15=I15,H15-I15,"ERROR")</f>
        <v>1719884.7400000014</v>
      </c>
      <c r="M15" s="9">
        <f t="shared" ref="M15" si="117">ROUND(L15*0.465,2)</f>
        <v>799746.4</v>
      </c>
      <c r="N15" s="9">
        <f>ROUND(L15*0.3,2)+0.03</f>
        <v>515965.45</v>
      </c>
      <c r="O15" s="9">
        <f>ROUND(L15*0.1285,2)</f>
        <v>221005.19</v>
      </c>
      <c r="P15" s="9">
        <f t="shared" ref="P15" si="118">ROUND((L15*0.07)*0.9,2)</f>
        <v>108352.74</v>
      </c>
      <c r="Q15" s="9">
        <f>ROUND(L15*0.01,2)-0.01</f>
        <v>17198.84</v>
      </c>
      <c r="R15" s="9">
        <f t="shared" ref="R15" si="119">ROUND((L15*0.0075)*0.9,2)</f>
        <v>11609.22</v>
      </c>
      <c r="S15" s="9">
        <f t="shared" ref="S15" si="120">ROUND((L15*0.0075)*0.9,2)</f>
        <v>11609.22</v>
      </c>
      <c r="T15" s="9">
        <f>ROUND(L15*0.02,2)-0.01</f>
        <v>34397.68</v>
      </c>
      <c r="U15" s="9"/>
      <c r="V15" s="40">
        <f t="shared" ref="V15" si="121">E15/W15</f>
        <v>1633.1327256153158</v>
      </c>
      <c r="W15" s="10">
        <v>1097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 t="shared" si="97"/>
        <v>44450</v>
      </c>
      <c r="B16" s="9">
        <v>20699086.899999999</v>
      </c>
      <c r="C16" s="9">
        <v>18537582.899999999</v>
      </c>
      <c r="D16" s="9">
        <v>305058.75</v>
      </c>
      <c r="E16" s="9">
        <f t="shared" ref="E16" si="122">B16-C16-D16</f>
        <v>1856445.25</v>
      </c>
      <c r="F16" s="9">
        <f>ROUND(E16*0.04,2)-0.01</f>
        <v>74257.8</v>
      </c>
      <c r="G16" s="9">
        <f t="shared" ref="G16" si="123">ROUND(E16*0,2)</f>
        <v>0</v>
      </c>
      <c r="H16" s="9">
        <f t="shared" ref="H16" si="124">E16-F16-G16</f>
        <v>1782187.45</v>
      </c>
      <c r="I16" s="9">
        <f t="shared" ref="I16" si="125">ROUND(H16*0,2)</f>
        <v>0</v>
      </c>
      <c r="J16" s="9">
        <f t="shared" ref="J16" si="126">ROUND((I16*0.58)+((I16*0.42)*0.1),2)</f>
        <v>0</v>
      </c>
      <c r="K16" s="9">
        <f t="shared" ref="K16" si="127">ROUND((I16*0.42)*0.9,2)</f>
        <v>0</v>
      </c>
      <c r="L16" s="9">
        <f t="shared" ref="L16" si="128">IF(J16+K16=I16,H16-I16,"ERROR")</f>
        <v>1782187.45</v>
      </c>
      <c r="M16" s="9">
        <f t="shared" ref="M16" si="129">ROUND(L16*0.465,2)</f>
        <v>828717.16</v>
      </c>
      <c r="N16" s="9">
        <f>ROUND(L16*0.3,2)-0.04</f>
        <v>534656.19999999995</v>
      </c>
      <c r="O16" s="9">
        <f>ROUND(L16*0.1285,2)+0.01</f>
        <v>229011.1</v>
      </c>
      <c r="P16" s="9">
        <f t="shared" ref="P16" si="130">ROUND((L16*0.07)*0.9,2)</f>
        <v>112277.81</v>
      </c>
      <c r="Q16" s="9">
        <f>ROUND(L16*0.01,2)+0.01</f>
        <v>17821.879999999997</v>
      </c>
      <c r="R16" s="9">
        <f t="shared" ref="R16" si="131">ROUND((L16*0.0075)*0.9,2)</f>
        <v>12029.77</v>
      </c>
      <c r="S16" s="9">
        <f t="shared" ref="S16" si="132">ROUND((L16*0.0075)*0.9,2)</f>
        <v>12029.77</v>
      </c>
      <c r="T16" s="9">
        <f>ROUND(L16*0.02,2)+0.01</f>
        <v>35643.760000000002</v>
      </c>
      <c r="U16" s="9"/>
      <c r="V16" s="40">
        <f t="shared" ref="V16" si="133">E16/W16</f>
        <v>1690.7515938069216</v>
      </c>
      <c r="W16" s="10">
        <v>1098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 t="shared" si="97"/>
        <v>44457</v>
      </c>
      <c r="B17" s="9">
        <v>17241537.32</v>
      </c>
      <c r="C17" s="9">
        <v>15332849.740000002</v>
      </c>
      <c r="D17" s="9">
        <v>297198</v>
      </c>
      <c r="E17" s="9">
        <f t="shared" ref="E17" si="134">B17-C17-D17</f>
        <v>1611489.5799999982</v>
      </c>
      <c r="F17" s="9">
        <f>ROUND(E17*0.04,2)-0.01</f>
        <v>64459.57</v>
      </c>
      <c r="G17" s="9">
        <f t="shared" ref="G17" si="135">ROUND(E17*0,2)</f>
        <v>0</v>
      </c>
      <c r="H17" s="9">
        <f t="shared" ref="H17" si="136">E17-F17-G17</f>
        <v>1547030.0099999981</v>
      </c>
      <c r="I17" s="9">
        <f t="shared" ref="I17" si="137">ROUND(H17*0,2)</f>
        <v>0</v>
      </c>
      <c r="J17" s="9">
        <f t="shared" ref="J17" si="138">ROUND((I17*0.58)+((I17*0.42)*0.1),2)</f>
        <v>0</v>
      </c>
      <c r="K17" s="9">
        <f t="shared" ref="K17" si="139">ROUND((I17*0.42)*0.9,2)</f>
        <v>0</v>
      </c>
      <c r="L17" s="9">
        <f t="shared" ref="L17" si="140">IF(J17+K17=I17,H17-I17,"ERROR")</f>
        <v>1547030.0099999981</v>
      </c>
      <c r="M17" s="9">
        <f t="shared" ref="M17" si="141">ROUND(L17*0.465,2)</f>
        <v>719368.95</v>
      </c>
      <c r="N17" s="9">
        <f>ROUND(L17*0.3,2)+0.01</f>
        <v>464109.01</v>
      </c>
      <c r="O17" s="9">
        <f>ROUND(L17*0.1285,2)</f>
        <v>198793.36</v>
      </c>
      <c r="P17" s="9">
        <f t="shared" ref="P17" si="142">ROUND((L17*0.07)*0.9,2)</f>
        <v>97462.89</v>
      </c>
      <c r="Q17" s="9">
        <f>ROUND(L17*0.01,2)</f>
        <v>15470.3</v>
      </c>
      <c r="R17" s="9">
        <f t="shared" ref="R17" si="143">ROUND((L17*0.0075)*0.9,2)</f>
        <v>10442.450000000001</v>
      </c>
      <c r="S17" s="9">
        <f t="shared" ref="S17" si="144">ROUND((L17*0.0075)*0.9,2)</f>
        <v>10442.450000000001</v>
      </c>
      <c r="T17" s="9">
        <f>ROUND(L17*0.02,2)</f>
        <v>30940.6</v>
      </c>
      <c r="U17" s="9"/>
      <c r="V17" s="40">
        <f t="shared" ref="V17" si="145">E17/W17</f>
        <v>1471.6799817351582</v>
      </c>
      <c r="W17" s="10">
        <v>1095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 t="shared" si="97"/>
        <v>44464</v>
      </c>
      <c r="B18" s="9">
        <v>17408752.510000002</v>
      </c>
      <c r="C18" s="9">
        <v>15494708.07</v>
      </c>
      <c r="D18" s="9">
        <v>261106</v>
      </c>
      <c r="E18" s="9">
        <f t="shared" ref="E18" si="146">B18-C18-D18</f>
        <v>1652938.4400000013</v>
      </c>
      <c r="F18" s="9">
        <f>ROUND(E18*0.04,2)-0.01</f>
        <v>66117.53</v>
      </c>
      <c r="G18" s="9">
        <f t="shared" ref="G18" si="147">ROUND(E18*0,2)</f>
        <v>0</v>
      </c>
      <c r="H18" s="9">
        <f t="shared" ref="H18" si="148">E18-F18-G18</f>
        <v>1586820.9100000013</v>
      </c>
      <c r="I18" s="9">
        <f t="shared" ref="I18" si="149">ROUND(H18*0,2)</f>
        <v>0</v>
      </c>
      <c r="J18" s="9">
        <f t="shared" ref="J18" si="150">ROUND((I18*0.58)+((I18*0.42)*0.1),2)</f>
        <v>0</v>
      </c>
      <c r="K18" s="9">
        <f t="shared" ref="K18" si="151">ROUND((I18*0.42)*0.9,2)</f>
        <v>0</v>
      </c>
      <c r="L18" s="9">
        <f t="shared" ref="L18" si="152">IF(J18+K18=I18,H18-I18,"ERROR")</f>
        <v>1586820.9100000013</v>
      </c>
      <c r="M18" s="9">
        <f t="shared" ref="M18" si="153">ROUND(L18*0.465,2)</f>
        <v>737871.72</v>
      </c>
      <c r="N18" s="9">
        <f>ROUND(L18*0.3,2)+0.06</f>
        <v>476046.33</v>
      </c>
      <c r="O18" s="9">
        <f>ROUND(L18*0.1285,2)-0.03</f>
        <v>203906.46</v>
      </c>
      <c r="P18" s="9">
        <f t="shared" ref="P18" si="154">ROUND((L18*0.07)*0.9,2)</f>
        <v>99969.72</v>
      </c>
      <c r="Q18" s="9">
        <f>ROUND(L18*0.01,2)-0.01</f>
        <v>15868.199999999999</v>
      </c>
      <c r="R18" s="9">
        <f t="shared" ref="R18" si="155">ROUND((L18*0.0075)*0.9,2)</f>
        <v>10711.04</v>
      </c>
      <c r="S18" s="9">
        <f t="shared" ref="S18" si="156">ROUND((L18*0.0075)*0.9,2)</f>
        <v>10711.04</v>
      </c>
      <c r="T18" s="9">
        <f>ROUND(L18*0.02,2)-0.02</f>
        <v>31736.399999999998</v>
      </c>
      <c r="U18" s="9"/>
      <c r="V18" s="40">
        <f t="shared" ref="V18" si="157">E18/W18</f>
        <v>1505.4084153005476</v>
      </c>
      <c r="W18" s="10">
        <v>1098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 t="shared" si="97"/>
        <v>44471</v>
      </c>
      <c r="B19" s="9">
        <v>18210551.259999998</v>
      </c>
      <c r="C19" s="9">
        <v>16370600.140000001</v>
      </c>
      <c r="D19" s="9">
        <v>300061</v>
      </c>
      <c r="E19" s="9">
        <f t="shared" ref="E19" si="158">B19-C19-D19</f>
        <v>1539890.1199999973</v>
      </c>
      <c r="F19" s="9">
        <f>ROUND(E19*0.04,2)+0.01</f>
        <v>61595.61</v>
      </c>
      <c r="G19" s="9">
        <f t="shared" ref="G19" si="159">ROUND(E19*0,2)</f>
        <v>0</v>
      </c>
      <c r="H19" s="9">
        <f t="shared" ref="H19" si="160">E19-F19-G19</f>
        <v>1478294.5099999972</v>
      </c>
      <c r="I19" s="9">
        <f t="shared" ref="I19" si="161">ROUND(H19*0,2)</f>
        <v>0</v>
      </c>
      <c r="J19" s="9">
        <f t="shared" ref="J19" si="162">ROUND((I19*0.58)+((I19*0.42)*0.1),2)</f>
        <v>0</v>
      </c>
      <c r="K19" s="9">
        <f t="shared" ref="K19" si="163">ROUND((I19*0.42)*0.9,2)</f>
        <v>0</v>
      </c>
      <c r="L19" s="9">
        <f t="shared" ref="L19" si="164">IF(J19+K19=I19,H19-I19,"ERROR")</f>
        <v>1478294.5099999972</v>
      </c>
      <c r="M19" s="9">
        <f t="shared" ref="M19" si="165">ROUND(L19*0.465,2)</f>
        <v>687406.95</v>
      </c>
      <c r="N19" s="9">
        <f>ROUND(L19*0.3,2)+0.03</f>
        <v>443488.38</v>
      </c>
      <c r="O19" s="9">
        <f>ROUND(L19*0.1285,2)-0.01</f>
        <v>189960.83</v>
      </c>
      <c r="P19" s="9">
        <f t="shared" ref="P19" si="166">ROUND((L19*0.07)*0.9,2)</f>
        <v>93132.55</v>
      </c>
      <c r="Q19" s="9">
        <f>ROUND(L19*0.01,2)-0.01</f>
        <v>14782.94</v>
      </c>
      <c r="R19" s="9">
        <f t="shared" ref="R19" si="167">ROUND((L19*0.0075)*0.9,2)</f>
        <v>9978.49</v>
      </c>
      <c r="S19" s="9">
        <f t="shared" ref="S19" si="168">ROUND((L19*0.0075)*0.9,2)</f>
        <v>9978.49</v>
      </c>
      <c r="T19" s="9">
        <f>ROUND(L19*0.02,2)-0.01</f>
        <v>29565.88</v>
      </c>
      <c r="U19" s="9"/>
      <c r="V19" s="40">
        <f t="shared" ref="V19" si="169">E19/W19</f>
        <v>1405.0092335766399</v>
      </c>
      <c r="W19" s="10">
        <v>1096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 t="shared" si="97"/>
        <v>44478</v>
      </c>
      <c r="B20" s="9">
        <v>17109201.98</v>
      </c>
      <c r="C20" s="9">
        <v>15310860.07</v>
      </c>
      <c r="D20" s="9">
        <v>298365</v>
      </c>
      <c r="E20" s="9">
        <f t="shared" ref="E20" si="170">B20-C20-D20</f>
        <v>1499976.9100000001</v>
      </c>
      <c r="F20" s="9">
        <f>ROUND(E20*0.04,2)</f>
        <v>59999.08</v>
      </c>
      <c r="G20" s="9">
        <f t="shared" ref="G20" si="171">ROUND(E20*0,2)</f>
        <v>0</v>
      </c>
      <c r="H20" s="9">
        <f t="shared" ref="H20" si="172">E20-F20-G20</f>
        <v>1439977.83</v>
      </c>
      <c r="I20" s="9">
        <f t="shared" ref="I20" si="173">ROUND(H20*0,2)</f>
        <v>0</v>
      </c>
      <c r="J20" s="9">
        <f t="shared" ref="J20" si="174">ROUND((I20*0.58)+((I20*0.42)*0.1),2)</f>
        <v>0</v>
      </c>
      <c r="K20" s="9">
        <f t="shared" ref="K20" si="175">ROUND((I20*0.42)*0.9,2)</f>
        <v>0</v>
      </c>
      <c r="L20" s="9">
        <f t="shared" ref="L20" si="176">IF(J20+K20=I20,H20-I20,"ERROR")</f>
        <v>1439977.83</v>
      </c>
      <c r="M20" s="9">
        <f t="shared" ref="M20" si="177">ROUND(L20*0.465,2)</f>
        <v>669589.68999999994</v>
      </c>
      <c r="N20" s="9">
        <f>ROUND(L20*0.3,2)-0.02</f>
        <v>431993.32999999996</v>
      </c>
      <c r="O20" s="9">
        <f>ROUND(L20*0.1285,2)+0.02</f>
        <v>185037.16999999998</v>
      </c>
      <c r="P20" s="9">
        <f t="shared" ref="P20" si="178">ROUND((L20*0.07)*0.9,2)</f>
        <v>90718.6</v>
      </c>
      <c r="Q20" s="9">
        <f>ROUND(L20*0.01,2)</f>
        <v>14399.78</v>
      </c>
      <c r="R20" s="9">
        <f t="shared" ref="R20" si="179">ROUND((L20*0.0075)*0.9,2)</f>
        <v>9719.85</v>
      </c>
      <c r="S20" s="9">
        <f t="shared" ref="S20" si="180">ROUND((L20*0.0075)*0.9,2)</f>
        <v>9719.85</v>
      </c>
      <c r="T20" s="9">
        <f>ROUND(L20*0.02,2)</f>
        <v>28799.56</v>
      </c>
      <c r="U20" s="9"/>
      <c r="V20" s="40">
        <f t="shared" ref="V20" si="181">E20/W20</f>
        <v>1361.1405716878405</v>
      </c>
      <c r="W20" s="10">
        <v>1102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 t="shared" si="97"/>
        <v>44485</v>
      </c>
      <c r="B21" s="9">
        <v>17946216.48</v>
      </c>
      <c r="C21" s="9">
        <v>15971362.879999999</v>
      </c>
      <c r="D21" s="9">
        <v>295318</v>
      </c>
      <c r="E21" s="9">
        <f t="shared" ref="E21" si="182">B21-C21-D21</f>
        <v>1679535.6000000015</v>
      </c>
      <c r="F21" s="9">
        <f>ROUND(E21*0.04,2)</f>
        <v>67181.42</v>
      </c>
      <c r="G21" s="9">
        <f t="shared" ref="G21" si="183">ROUND(E21*0,2)</f>
        <v>0</v>
      </c>
      <c r="H21" s="9">
        <f t="shared" ref="H21" si="184">E21-F21-G21</f>
        <v>1612354.1800000016</v>
      </c>
      <c r="I21" s="9">
        <f t="shared" ref="I21" si="185">ROUND(H21*0,2)</f>
        <v>0</v>
      </c>
      <c r="J21" s="9">
        <f t="shared" ref="J21" si="186">ROUND((I21*0.58)+((I21*0.42)*0.1),2)</f>
        <v>0</v>
      </c>
      <c r="K21" s="9">
        <f t="shared" ref="K21" si="187">ROUND((I21*0.42)*0.9,2)</f>
        <v>0</v>
      </c>
      <c r="L21" s="9">
        <f t="shared" ref="L21" si="188">IF(J21+K21=I21,H21-I21,"ERROR")</f>
        <v>1612354.1800000016</v>
      </c>
      <c r="M21" s="9">
        <f t="shared" ref="M21" si="189">ROUND(L21*0.465,2)</f>
        <v>749744.69</v>
      </c>
      <c r="N21" s="9">
        <f>ROUND(L21*0.3,2)+0.02</f>
        <v>483706.27</v>
      </c>
      <c r="O21" s="9">
        <f>ROUND(L21*0.1285,2)</f>
        <v>207187.51</v>
      </c>
      <c r="P21" s="9">
        <f t="shared" ref="P21" si="190">ROUND((L21*0.07)*0.9,2)</f>
        <v>101578.31</v>
      </c>
      <c r="Q21" s="9">
        <f>ROUND(L21*0.01,2)</f>
        <v>16123.54</v>
      </c>
      <c r="R21" s="9">
        <f t="shared" ref="R21" si="191">ROUND((L21*0.0075)*0.9,2)</f>
        <v>10883.39</v>
      </c>
      <c r="S21" s="9">
        <f t="shared" ref="S21" si="192">ROUND((L21*0.0075)*0.9,2)</f>
        <v>10883.39</v>
      </c>
      <c r="T21" s="9">
        <f>ROUND(L21*0.02,2)</f>
        <v>32247.08</v>
      </c>
      <c r="U21" s="9"/>
      <c r="V21" s="40">
        <f t="shared" ref="V21" si="193">E21/W21</f>
        <v>1518.5674502712491</v>
      </c>
      <c r="W21" s="10">
        <v>1106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 t="shared" si="97"/>
        <v>44492</v>
      </c>
      <c r="B22" s="9">
        <v>17984996.580000002</v>
      </c>
      <c r="C22" s="9">
        <v>15948882.059999999</v>
      </c>
      <c r="D22" s="9">
        <v>298788</v>
      </c>
      <c r="E22" s="9">
        <f t="shared" ref="E22" si="194">B22-C22-D22</f>
        <v>1737326.5200000033</v>
      </c>
      <c r="F22" s="9">
        <f>ROUND(E22*0.04,2)+0.01</f>
        <v>69493.069999999992</v>
      </c>
      <c r="G22" s="9">
        <f t="shared" ref="G22" si="195">ROUND(E22*0,2)</f>
        <v>0</v>
      </c>
      <c r="H22" s="9">
        <f t="shared" ref="H22" si="196">E22-F22-G22</f>
        <v>1667833.4500000032</v>
      </c>
      <c r="I22" s="9">
        <f t="shared" ref="I22" si="197">ROUND(H22*0,2)</f>
        <v>0</v>
      </c>
      <c r="J22" s="9">
        <f t="shared" ref="J22" si="198">ROUND((I22*0.58)+((I22*0.42)*0.1),2)</f>
        <v>0</v>
      </c>
      <c r="K22" s="9">
        <f t="shared" ref="K22" si="199">ROUND((I22*0.42)*0.9,2)</f>
        <v>0</v>
      </c>
      <c r="L22" s="9">
        <f t="shared" ref="L22" si="200">IF(J22+K22=I22,H22-I22,"ERROR")</f>
        <v>1667833.4500000032</v>
      </c>
      <c r="M22" s="9">
        <f t="shared" ref="M22" si="201">ROUND(L22*0.465,2)</f>
        <v>775542.55</v>
      </c>
      <c r="N22" s="9">
        <f>ROUND(L22*0.3,2)-0.03</f>
        <v>500350.00999999995</v>
      </c>
      <c r="O22" s="9">
        <f>ROUND(L22*0.1285,2)</f>
        <v>214316.6</v>
      </c>
      <c r="P22" s="9">
        <f t="shared" ref="P22" si="202">ROUND((L22*0.07)*0.9,2)</f>
        <v>105073.51</v>
      </c>
      <c r="Q22" s="9">
        <f>ROUND(L22*0.01,2)+0.01</f>
        <v>16678.34</v>
      </c>
      <c r="R22" s="9">
        <f t="shared" ref="R22" si="203">ROUND((L22*0.0075)*0.9,2)</f>
        <v>11257.88</v>
      </c>
      <c r="S22" s="9">
        <f t="shared" ref="S22" si="204">ROUND((L22*0.0075)*0.9,2)</f>
        <v>11257.88</v>
      </c>
      <c r="T22" s="9">
        <f>ROUND(L22*0.02,2)+0.01</f>
        <v>33356.68</v>
      </c>
      <c r="U22" s="9"/>
      <c r="V22" s="40">
        <f t="shared" ref="V22" si="205">E22/W22</f>
        <v>1570.8196383363502</v>
      </c>
      <c r="W22" s="10">
        <v>1106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 t="shared" si="97"/>
        <v>44499</v>
      </c>
      <c r="B23" s="9">
        <v>17781787.800000001</v>
      </c>
      <c r="C23" s="9">
        <v>15874887.66</v>
      </c>
      <c r="D23" s="9">
        <v>295869</v>
      </c>
      <c r="E23" s="9">
        <f t="shared" ref="E23" si="206">B23-C23-D23</f>
        <v>1611031.1400000006</v>
      </c>
      <c r="F23" s="9">
        <f>ROUND(E23*0.04,2)-0.02</f>
        <v>64441.23</v>
      </c>
      <c r="G23" s="9">
        <f t="shared" ref="G23" si="207">ROUND(E23*0,2)</f>
        <v>0</v>
      </c>
      <c r="H23" s="9">
        <f t="shared" ref="H23" si="208">E23-F23-G23</f>
        <v>1546589.9100000006</v>
      </c>
      <c r="I23" s="9">
        <f t="shared" ref="I23" si="209">ROUND(H23*0,2)</f>
        <v>0</v>
      </c>
      <c r="J23" s="9">
        <f t="shared" ref="J23" si="210">ROUND((I23*0.58)+((I23*0.42)*0.1),2)</f>
        <v>0</v>
      </c>
      <c r="K23" s="9">
        <f t="shared" ref="K23" si="211">ROUND((I23*0.42)*0.9,2)</f>
        <v>0</v>
      </c>
      <c r="L23" s="9">
        <f t="shared" ref="L23" si="212">IF(J23+K23=I23,H23-I23,"ERROR")</f>
        <v>1546589.9100000006</v>
      </c>
      <c r="M23" s="9">
        <f t="shared" ref="M23" si="213">ROUND(L23*0.465,2)</f>
        <v>719164.31</v>
      </c>
      <c r="N23" s="9">
        <f>ROUND(L23*0.3,2)+0.01</f>
        <v>463976.98</v>
      </c>
      <c r="O23" s="9">
        <f>ROUND(L23*0.1285,2)</f>
        <v>198736.8</v>
      </c>
      <c r="P23" s="9">
        <f t="shared" ref="P23" si="214">ROUND((L23*0.07)*0.9,2)</f>
        <v>97435.16</v>
      </c>
      <c r="Q23" s="9">
        <f>ROUND(L23*0.01,2)</f>
        <v>15465.9</v>
      </c>
      <c r="R23" s="9">
        <f t="shared" ref="R23" si="215">ROUND((L23*0.0075)*0.9,2)</f>
        <v>10439.48</v>
      </c>
      <c r="S23" s="9">
        <f t="shared" ref="S23" si="216">ROUND((L23*0.0075)*0.9,2)</f>
        <v>10439.48</v>
      </c>
      <c r="T23" s="9">
        <f>ROUND(L23*0.02,2)</f>
        <v>30931.8</v>
      </c>
      <c r="U23" s="9"/>
      <c r="V23" s="40">
        <f t="shared" ref="V23" si="217">E23/W23</f>
        <v>1480.7271507352946</v>
      </c>
      <c r="W23" s="10">
        <v>1088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 t="shared" si="97"/>
        <v>44506</v>
      </c>
      <c r="B24" s="9">
        <v>16961346.640000001</v>
      </c>
      <c r="C24" s="9">
        <v>15015877.449999999</v>
      </c>
      <c r="D24" s="9">
        <v>311062</v>
      </c>
      <c r="E24" s="9">
        <f t="shared" ref="E24" si="218">B24-C24-D24</f>
        <v>1634407.1900000013</v>
      </c>
      <c r="F24" s="9">
        <f>ROUND(E24*0.04,2)</f>
        <v>65376.29</v>
      </c>
      <c r="G24" s="9">
        <f t="shared" ref="G24" si="219">ROUND(E24*0,2)</f>
        <v>0</v>
      </c>
      <c r="H24" s="9">
        <f t="shared" ref="H24" si="220">E24-F24-G24</f>
        <v>1569030.9000000013</v>
      </c>
      <c r="I24" s="9">
        <f t="shared" ref="I24" si="221">ROUND(H24*0,2)</f>
        <v>0</v>
      </c>
      <c r="J24" s="9">
        <f t="shared" ref="J24" si="222">ROUND((I24*0.58)+((I24*0.42)*0.1),2)</f>
        <v>0</v>
      </c>
      <c r="K24" s="9">
        <f t="shared" ref="K24" si="223">ROUND((I24*0.42)*0.9,2)</f>
        <v>0</v>
      </c>
      <c r="L24" s="9">
        <f t="shared" ref="L24" si="224">IF(J24+K24=I24,H24-I24,"ERROR")</f>
        <v>1569030.9000000013</v>
      </c>
      <c r="M24" s="9">
        <f t="shared" ref="M24" si="225">ROUND(L24*0.465,2)</f>
        <v>729599.37</v>
      </c>
      <c r="N24" s="9">
        <f>ROUND(L24*0.3,2)+0.06</f>
        <v>470709.33</v>
      </c>
      <c r="O24" s="9">
        <f>ROUND(L24*0.1285,2)-0.04</f>
        <v>201620.43</v>
      </c>
      <c r="P24" s="9">
        <f t="shared" ref="P24" si="226">ROUND((L24*0.07)*0.9,2)</f>
        <v>98848.95</v>
      </c>
      <c r="Q24" s="9">
        <f>ROUND(L24*0.01,2)-0.01</f>
        <v>15690.3</v>
      </c>
      <c r="R24" s="9">
        <f t="shared" ref="R24" si="227">ROUND((L24*0.0075)*0.9,2)</f>
        <v>10590.96</v>
      </c>
      <c r="S24" s="9">
        <f t="shared" ref="S24" si="228">ROUND((L24*0.0075)*0.9,2)</f>
        <v>10590.96</v>
      </c>
      <c r="T24" s="9">
        <f>ROUND(L24*0.02,2)-0.02</f>
        <v>31380.6</v>
      </c>
      <c r="U24" s="9"/>
      <c r="V24" s="40">
        <f t="shared" ref="V24" si="229">E24/W24</f>
        <v>1500.8330486685045</v>
      </c>
      <c r="W24" s="10">
        <v>1089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 t="shared" si="97"/>
        <v>44513</v>
      </c>
      <c r="B25" s="9">
        <v>16561137.67</v>
      </c>
      <c r="C25" s="9">
        <v>14659855.120000001</v>
      </c>
      <c r="D25" s="9">
        <v>281409</v>
      </c>
      <c r="E25" s="9">
        <f t="shared" ref="E25" si="230">B25-C25-D25</f>
        <v>1619873.5499999989</v>
      </c>
      <c r="F25" s="9">
        <f>ROUND(E25*0.04,2)+0.01</f>
        <v>64794.950000000004</v>
      </c>
      <c r="G25" s="9">
        <f t="shared" ref="G25" si="231">ROUND(E25*0,2)</f>
        <v>0</v>
      </c>
      <c r="H25" s="9">
        <f t="shared" ref="H25" si="232">E25-F25-G25</f>
        <v>1555078.5999999989</v>
      </c>
      <c r="I25" s="9">
        <f t="shared" ref="I25" si="233">ROUND(H25*0,2)</f>
        <v>0</v>
      </c>
      <c r="J25" s="9">
        <f t="shared" ref="J25" si="234">ROUND((I25*0.58)+((I25*0.42)*0.1),2)</f>
        <v>0</v>
      </c>
      <c r="K25" s="9">
        <f t="shared" ref="K25" si="235">ROUND((I25*0.42)*0.9,2)</f>
        <v>0</v>
      </c>
      <c r="L25" s="66">
        <f t="shared" ref="L25" si="236">IF(J25+K25=I25,H25-I25,"ERROR")</f>
        <v>1555078.5999999989</v>
      </c>
      <c r="M25" s="9">
        <f t="shared" ref="M25" si="237">ROUND(L25*0.465,2)</f>
        <v>723111.55</v>
      </c>
      <c r="N25" s="9">
        <f>ROUND(L25*0.3,2)+0.04</f>
        <v>466523.62</v>
      </c>
      <c r="O25" s="9">
        <f>ROUND(L25*0.1285,2)-0.02</f>
        <v>199827.58000000002</v>
      </c>
      <c r="P25" s="9">
        <f t="shared" ref="P25" si="238">ROUND((L25*0.07)*0.9,2)</f>
        <v>97969.95</v>
      </c>
      <c r="Q25" s="9">
        <f>ROUND(L25*0.01,2)-0.01</f>
        <v>15550.78</v>
      </c>
      <c r="R25" s="9">
        <f t="shared" ref="R25" si="239">ROUND((L25*0.0075)*0.9,2)</f>
        <v>10496.78</v>
      </c>
      <c r="S25" s="9">
        <f t="shared" ref="S25" si="240">ROUND((L25*0.0075)*0.9,2)</f>
        <v>10496.78</v>
      </c>
      <c r="T25" s="9">
        <f>ROUND(L25*0.02,2)-0.01</f>
        <v>31101.56</v>
      </c>
      <c r="U25" s="9"/>
      <c r="V25" s="40">
        <f t="shared" ref="V25" si="241">E25/W25</f>
        <v>1475.2946721311466</v>
      </c>
      <c r="W25" s="10">
        <v>1098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 t="shared" si="97"/>
        <v>44520</v>
      </c>
      <c r="B26" s="9">
        <v>15180720.189999999</v>
      </c>
      <c r="C26" s="9">
        <v>13479237.869999999</v>
      </c>
      <c r="D26" s="9">
        <v>264726</v>
      </c>
      <c r="E26" s="9">
        <f t="shared" ref="E26" si="242">B26-C26-D26</f>
        <v>1436756.3200000003</v>
      </c>
      <c r="F26" s="9">
        <f>ROUND(E26*0.04,2)+0.01</f>
        <v>57470.26</v>
      </c>
      <c r="G26" s="9">
        <f t="shared" ref="G26" si="243">ROUND(E26*0,2)</f>
        <v>0</v>
      </c>
      <c r="H26" s="9">
        <f t="shared" ref="H26" si="244">E26-F26-G26</f>
        <v>1379286.0600000003</v>
      </c>
      <c r="I26" s="9">
        <f t="shared" ref="I26" si="245">ROUND(H26*0,2)</f>
        <v>0</v>
      </c>
      <c r="J26" s="9">
        <f t="shared" ref="J26" si="246">ROUND((I26*0.58)+((I26*0.42)*0.1),2)</f>
        <v>0</v>
      </c>
      <c r="K26" s="9">
        <f t="shared" ref="K26" si="247">ROUND((I26*0.42)*0.9,2)</f>
        <v>0</v>
      </c>
      <c r="L26" s="66">
        <f t="shared" ref="L26" si="248">IF(J26+K26=I26,H26-I26,"ERROR")</f>
        <v>1379286.0600000003</v>
      </c>
      <c r="M26" s="9">
        <f t="shared" ref="M26" si="249">ROUND(L26*0.465,2)</f>
        <v>641368.02</v>
      </c>
      <c r="N26" s="9">
        <f>ROUND(L26*0.3,2)+0.01</f>
        <v>413785.83</v>
      </c>
      <c r="O26" s="9">
        <f>ROUND(L26*0.1285,2)-0.01</f>
        <v>177238.25</v>
      </c>
      <c r="P26" s="9">
        <f t="shared" ref="P26" si="250">ROUND((L26*0.07)*0.9,2)</f>
        <v>86895.02</v>
      </c>
      <c r="Q26" s="9">
        <f>ROUND(L26*0.01,2)</f>
        <v>13792.86</v>
      </c>
      <c r="R26" s="9">
        <f t="shared" ref="R26" si="251">ROUND((L26*0.0075)*0.9,2)</f>
        <v>9310.18</v>
      </c>
      <c r="S26" s="9">
        <f t="shared" ref="S26" si="252">ROUND((L26*0.0075)*0.9,2)</f>
        <v>9310.18</v>
      </c>
      <c r="T26" s="9">
        <f>ROUND(L26*0.02,2)</f>
        <v>27585.72</v>
      </c>
      <c r="U26" s="9"/>
      <c r="V26" s="40">
        <f t="shared" ref="V26" si="253">E26/W26</f>
        <v>1312.1062283105025</v>
      </c>
      <c r="W26" s="10">
        <v>1095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 t="shared" si="97"/>
        <v>44527</v>
      </c>
      <c r="B27" s="9">
        <v>16314409.5</v>
      </c>
      <c r="C27" s="9">
        <v>14481871.840000002</v>
      </c>
      <c r="D27" s="9">
        <v>263479</v>
      </c>
      <c r="E27" s="9">
        <f t="shared" ref="E27" si="254">B27-C27-D27</f>
        <v>1569058.6599999983</v>
      </c>
      <c r="F27" s="9">
        <f>ROUND(E27*0.04,2)+0.01</f>
        <v>62762.36</v>
      </c>
      <c r="G27" s="9">
        <f t="shared" ref="G27" si="255">ROUND(E27*0,2)</f>
        <v>0</v>
      </c>
      <c r="H27" s="9">
        <f t="shared" ref="H27" si="256">E27-F27-G27</f>
        <v>1506296.2999999982</v>
      </c>
      <c r="I27" s="9">
        <f t="shared" ref="I27" si="257">ROUND(H27*0,2)</f>
        <v>0</v>
      </c>
      <c r="J27" s="9">
        <f t="shared" ref="J27" si="258">ROUND((I27*0.58)+((I27*0.42)*0.1),2)</f>
        <v>0</v>
      </c>
      <c r="K27" s="9">
        <f t="shared" ref="K27" si="259">ROUND((I27*0.42)*0.9,2)</f>
        <v>0</v>
      </c>
      <c r="L27" s="66">
        <f t="shared" ref="L27" si="260">IF(J27+K27=I27,H27-I27,"ERROR")</f>
        <v>1506296.2999999982</v>
      </c>
      <c r="M27" s="9">
        <f t="shared" ref="M27" si="261">ROUND(L27*0.465,2)</f>
        <v>700427.78</v>
      </c>
      <c r="N27" s="9">
        <f>ROUND(L27*0.3,2)+0.02</f>
        <v>451888.91000000003</v>
      </c>
      <c r="O27" s="9">
        <f>ROUND(L27*0.1285,2)-0.01</f>
        <v>193559.06</v>
      </c>
      <c r="P27" s="9">
        <f t="shared" ref="P27" si="262">ROUND((L27*0.07)*0.9,2)</f>
        <v>94896.67</v>
      </c>
      <c r="Q27" s="9">
        <f>ROUND(L27*0.01,2)</f>
        <v>15062.96</v>
      </c>
      <c r="R27" s="9">
        <f t="shared" ref="R27" si="263">ROUND((L27*0.0075)*0.9,2)</f>
        <v>10167.5</v>
      </c>
      <c r="S27" s="9">
        <f t="shared" ref="S27" si="264">ROUND((L27*0.0075)*0.9,2)</f>
        <v>10167.5</v>
      </c>
      <c r="T27" s="9">
        <f>ROUND(L27*0.02,2)-0.01</f>
        <v>30125.920000000002</v>
      </c>
      <c r="U27" s="9"/>
      <c r="V27" s="40">
        <f t="shared" ref="V27" si="265">E27/W27</f>
        <v>1430.3178304466712</v>
      </c>
      <c r="W27" s="10">
        <v>1097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 t="shared" si="97"/>
        <v>44534</v>
      </c>
      <c r="B28" s="9">
        <v>15344430.59</v>
      </c>
      <c r="C28" s="9">
        <v>13657549.66</v>
      </c>
      <c r="D28" s="9">
        <v>259196</v>
      </c>
      <c r="E28" s="9">
        <f t="shared" ref="E28" si="266">B28-C28-D28</f>
        <v>1427684.9299999997</v>
      </c>
      <c r="F28" s="9">
        <f>ROUND(E28*0.04,2)-0.01</f>
        <v>57107.39</v>
      </c>
      <c r="G28" s="9">
        <f t="shared" ref="G28" si="267">ROUND(E28*0,2)</f>
        <v>0</v>
      </c>
      <c r="H28" s="9">
        <f t="shared" ref="H28" si="268">E28-F28-G28</f>
        <v>1370577.5399999998</v>
      </c>
      <c r="I28" s="9">
        <f t="shared" ref="I28" si="269">ROUND(H28*0,2)</f>
        <v>0</v>
      </c>
      <c r="J28" s="9">
        <f t="shared" ref="J28" si="270">ROUND((I28*0.58)+((I28*0.42)*0.1),2)</f>
        <v>0</v>
      </c>
      <c r="K28" s="9">
        <f t="shared" ref="K28" si="271">ROUND((I28*0.42)*0.9,2)</f>
        <v>0</v>
      </c>
      <c r="L28" s="66">
        <f t="shared" ref="L28" si="272">IF(J28+K28=I28,H28-I28,"ERROR")</f>
        <v>1370577.5399999998</v>
      </c>
      <c r="M28" s="9">
        <f t="shared" ref="M28" si="273">ROUND(L28*0.465,2)</f>
        <v>637318.56000000006</v>
      </c>
      <c r="N28" s="9">
        <f>ROUND(L28*0.3,2)-0.03</f>
        <v>411173.23</v>
      </c>
      <c r="O28" s="9">
        <f>ROUND(L28*0.1285,2)+0.01</f>
        <v>176119.22</v>
      </c>
      <c r="P28" s="9">
        <f t="shared" ref="P28" si="274">ROUND((L28*0.07)*0.9,2)</f>
        <v>86346.39</v>
      </c>
      <c r="Q28" s="9">
        <f>ROUND(L28*0.01,2)</f>
        <v>13705.78</v>
      </c>
      <c r="R28" s="9">
        <f t="shared" ref="R28" si="275">ROUND((L28*0.0075)*0.9,2)</f>
        <v>9251.4</v>
      </c>
      <c r="S28" s="9">
        <f t="shared" ref="S28" si="276">ROUND((L28*0.0075)*0.9,2)</f>
        <v>9251.4</v>
      </c>
      <c r="T28" s="9">
        <f>ROUND(L28*0.02,2)+0.01</f>
        <v>27411.559999999998</v>
      </c>
      <c r="U28" s="9"/>
      <c r="V28" s="40">
        <f t="shared" ref="V28" si="277">E28/W28</f>
        <v>1302.6322354014596</v>
      </c>
      <c r="W28" s="10">
        <v>1096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 t="shared" si="97"/>
        <v>44541</v>
      </c>
      <c r="B29" s="9">
        <v>14531093.17</v>
      </c>
      <c r="C29" s="9">
        <v>12946540</v>
      </c>
      <c r="D29" s="9">
        <v>243873</v>
      </c>
      <c r="E29" s="9">
        <f t="shared" ref="E29" si="278">B29-C29-D29</f>
        <v>1340680.17</v>
      </c>
      <c r="F29" s="9">
        <f>ROUND(E29*0.04,2)+0.01</f>
        <v>53627.22</v>
      </c>
      <c r="G29" s="9">
        <f t="shared" ref="G29" si="279">ROUND(E29*0,2)</f>
        <v>0</v>
      </c>
      <c r="H29" s="9">
        <f t="shared" ref="H29" si="280">E29-F29-G29</f>
        <v>1287052.95</v>
      </c>
      <c r="I29" s="9">
        <f t="shared" ref="I29" si="281">ROUND(H29*0,2)</f>
        <v>0</v>
      </c>
      <c r="J29" s="9">
        <f t="shared" ref="J29" si="282">ROUND((I29*0.58)+((I29*0.42)*0.1),2)</f>
        <v>0</v>
      </c>
      <c r="K29" s="9">
        <f t="shared" ref="K29" si="283">ROUND((I29*0.42)*0.9,2)</f>
        <v>0</v>
      </c>
      <c r="L29" s="66">
        <f t="shared" ref="L29" si="284">IF(J29+K29=I29,H29-I29,"ERROR")</f>
        <v>1287052.95</v>
      </c>
      <c r="M29" s="9">
        <f t="shared" ref="M29" si="285">ROUND(L29*0.465,2)</f>
        <v>598479.62</v>
      </c>
      <c r="N29" s="9">
        <f>ROUND(L29*0.3,2)+0.03</f>
        <v>386115.92000000004</v>
      </c>
      <c r="O29" s="9">
        <f>ROUND(L29*0.1285,2)-0.01</f>
        <v>165386.28999999998</v>
      </c>
      <c r="P29" s="9">
        <f t="shared" ref="P29" si="286">ROUND((L29*0.07)*0.9,2)</f>
        <v>81084.34</v>
      </c>
      <c r="Q29" s="9">
        <f>ROUND(L29*0.01,2)-0.01</f>
        <v>12870.52</v>
      </c>
      <c r="R29" s="9">
        <f t="shared" ref="R29" si="287">ROUND((L29*0.0075)*0.9,2)</f>
        <v>8687.61</v>
      </c>
      <c r="S29" s="9">
        <f t="shared" ref="S29" si="288">ROUND((L29*0.0075)*0.9,2)</f>
        <v>8687.61</v>
      </c>
      <c r="T29" s="9">
        <f>ROUND(L29*0.02,2)-0.02</f>
        <v>25741.040000000001</v>
      </c>
      <c r="U29" s="9"/>
      <c r="V29" s="40">
        <f t="shared" ref="V29" si="289">E29/W29</f>
        <v>1224.3654520547946</v>
      </c>
      <c r="W29" s="10">
        <v>1095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 t="shared" si="97"/>
        <v>44548</v>
      </c>
      <c r="B30" s="9">
        <v>15209435.580000002</v>
      </c>
      <c r="C30" s="9">
        <v>13518549.689999999</v>
      </c>
      <c r="D30" s="9">
        <v>246577</v>
      </c>
      <c r="E30" s="9">
        <f t="shared" ref="E30" si="290">B30-C30-D30</f>
        <v>1444308.8900000025</v>
      </c>
      <c r="F30" s="9">
        <f>ROUND(E30*0.04,2)</f>
        <v>57772.36</v>
      </c>
      <c r="G30" s="9">
        <f t="shared" ref="G30" si="291">ROUND(E30*0,2)</f>
        <v>0</v>
      </c>
      <c r="H30" s="9">
        <f t="shared" ref="H30" si="292">E30-F30-G30</f>
        <v>1386536.5300000024</v>
      </c>
      <c r="I30" s="9">
        <f t="shared" ref="I30" si="293">ROUND(H30*0,2)</f>
        <v>0</v>
      </c>
      <c r="J30" s="9">
        <f t="shared" ref="J30" si="294">ROUND((I30*0.58)+((I30*0.42)*0.1),2)</f>
        <v>0</v>
      </c>
      <c r="K30" s="9">
        <f t="shared" ref="K30" si="295">ROUND((I30*0.42)*0.9,2)</f>
        <v>0</v>
      </c>
      <c r="L30" s="66">
        <f t="shared" ref="L30" si="296">IF(J30+K30=I30,H30-I30,"ERROR")</f>
        <v>1386536.5300000024</v>
      </c>
      <c r="M30" s="9">
        <f t="shared" ref="M30" si="297">ROUND(L30*0.465,2)</f>
        <v>644739.49</v>
      </c>
      <c r="N30" s="9">
        <f>ROUND(L30*0.3,2)+0.02</f>
        <v>415960.98000000004</v>
      </c>
      <c r="O30" s="9">
        <f>ROUND(L30*0.1285,2)</f>
        <v>178169.94</v>
      </c>
      <c r="P30" s="9">
        <f t="shared" ref="P30" si="298">ROUND((L30*0.07)*0.9,2)</f>
        <v>87351.8</v>
      </c>
      <c r="Q30" s="9">
        <f>ROUND(L30*0.01,2)-0.01</f>
        <v>13865.36</v>
      </c>
      <c r="R30" s="9">
        <f t="shared" ref="R30" si="299">ROUND((L30*0.0075)*0.9,2)</f>
        <v>9359.1200000000008</v>
      </c>
      <c r="S30" s="9">
        <f t="shared" ref="S30" si="300">ROUND((L30*0.0075)*0.9,2)</f>
        <v>9359.1200000000008</v>
      </c>
      <c r="T30" s="9">
        <f>ROUND(L30*0.02,2)-0.01</f>
        <v>27730.720000000001</v>
      </c>
      <c r="U30" s="9"/>
      <c r="V30" s="40">
        <f t="shared" ref="V30" si="301">E30/W30</f>
        <v>1310.6251270417445</v>
      </c>
      <c r="W30" s="10">
        <v>1102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 t="shared" si="97"/>
        <v>44555</v>
      </c>
      <c r="B31" s="9">
        <v>13167843.42</v>
      </c>
      <c r="C31" s="9">
        <v>11828846.080000002</v>
      </c>
      <c r="D31" s="9">
        <v>196571</v>
      </c>
      <c r="E31" s="9">
        <f t="shared" ref="E31" si="302">B31-C31-D31</f>
        <v>1142426.339999998</v>
      </c>
      <c r="F31" s="9">
        <f>ROUND(E31*0.04,2)+0.01</f>
        <v>45697.060000000005</v>
      </c>
      <c r="G31" s="9">
        <f t="shared" ref="G31" si="303">ROUND(E31*0,2)</f>
        <v>0</v>
      </c>
      <c r="H31" s="9">
        <f t="shared" ref="H31" si="304">E31-F31-G31</f>
        <v>1096729.2799999979</v>
      </c>
      <c r="I31" s="9">
        <f t="shared" ref="I31" si="305">ROUND(H31*0,2)</f>
        <v>0</v>
      </c>
      <c r="J31" s="9">
        <f t="shared" ref="J31" si="306">ROUND((I31*0.58)+((I31*0.42)*0.1),2)</f>
        <v>0</v>
      </c>
      <c r="K31" s="9">
        <f t="shared" ref="K31" si="307">ROUND((I31*0.42)*0.9,2)</f>
        <v>0</v>
      </c>
      <c r="L31" s="66">
        <f t="shared" ref="L31" si="308">IF(J31+K31=I31,H31-I31,"ERROR")</f>
        <v>1096729.2799999979</v>
      </c>
      <c r="M31" s="9">
        <f t="shared" ref="M31" si="309">ROUND(L31*0.465,2)</f>
        <v>509979.12</v>
      </c>
      <c r="N31" s="9">
        <f>ROUND(L31*0.3,2)-0.04</f>
        <v>329018.74000000005</v>
      </c>
      <c r="O31" s="9">
        <f>ROUND(L31*0.1285,2)+0.03</f>
        <v>140929.74</v>
      </c>
      <c r="P31" s="9">
        <f t="shared" ref="P31" si="310">ROUND((L31*0.07)*0.9,2)</f>
        <v>69093.94</v>
      </c>
      <c r="Q31" s="9">
        <f>ROUND(L31*0.01,2)+0.01</f>
        <v>10967.300000000001</v>
      </c>
      <c r="R31" s="9">
        <f t="shared" ref="R31" si="311">ROUND((L31*0.0075)*0.9,2)</f>
        <v>7402.92</v>
      </c>
      <c r="S31" s="9">
        <f t="shared" ref="S31" si="312">ROUND((L31*0.0075)*0.9,2)</f>
        <v>7402.92</v>
      </c>
      <c r="T31" s="9">
        <f>ROUND(L31*0.02,2)+0.01</f>
        <v>21934.6</v>
      </c>
      <c r="U31" s="9"/>
      <c r="V31" s="40">
        <f t="shared" ref="V31" si="313">E31/W31</f>
        <v>1040.4611475409818</v>
      </c>
      <c r="W31" s="10">
        <v>1098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 t="shared" si="97"/>
        <v>44562</v>
      </c>
      <c r="B32" s="9">
        <v>24112584.190000001</v>
      </c>
      <c r="C32" s="9">
        <v>21387917.930000003</v>
      </c>
      <c r="D32" s="9">
        <v>348179</v>
      </c>
      <c r="E32" s="9">
        <f t="shared" ref="E32" si="314">B32-C32-D32</f>
        <v>2376487.2599999979</v>
      </c>
      <c r="F32" s="9">
        <f>ROUND(E32*0.04,2)</f>
        <v>95059.49</v>
      </c>
      <c r="G32" s="9">
        <f t="shared" ref="G32" si="315">ROUND(E32*0,2)</f>
        <v>0</v>
      </c>
      <c r="H32" s="9">
        <f t="shared" ref="H32" si="316">E32-F32-G32</f>
        <v>2281427.7699999977</v>
      </c>
      <c r="I32" s="9">
        <f t="shared" ref="I32" si="317">ROUND(H32*0,2)</f>
        <v>0</v>
      </c>
      <c r="J32" s="9">
        <f t="shared" ref="J32" si="318">ROUND((I32*0.58)+((I32*0.42)*0.1),2)</f>
        <v>0</v>
      </c>
      <c r="K32" s="9">
        <f t="shared" ref="K32" si="319">ROUND((I32*0.42)*0.9,2)</f>
        <v>0</v>
      </c>
      <c r="L32" s="66">
        <f t="shared" ref="L32" si="320">IF(J32+K32=I32,H32-I32,"ERROR")</f>
        <v>2281427.7699999977</v>
      </c>
      <c r="M32" s="9">
        <f t="shared" ref="M32" si="321">ROUND(L32*0.465,2)</f>
        <v>1060863.9099999999</v>
      </c>
      <c r="N32" s="9">
        <f>ROUND(L32*0.3,2)</f>
        <v>684428.33</v>
      </c>
      <c r="O32" s="9">
        <f>ROUND(L32*0.1285,2)-0.01</f>
        <v>293163.45999999996</v>
      </c>
      <c r="P32" s="9">
        <f t="shared" ref="P32" si="322">ROUND((L32*0.07)*0.9,2)</f>
        <v>143729.95000000001</v>
      </c>
      <c r="Q32" s="9">
        <f>ROUND(L32*0.01,2)</f>
        <v>22814.28</v>
      </c>
      <c r="R32" s="9">
        <f t="shared" ref="R32" si="323">ROUND((L32*0.0075)*0.9,2)</f>
        <v>15399.64</v>
      </c>
      <c r="S32" s="9">
        <f t="shared" ref="S32" si="324">ROUND((L32*0.0075)*0.9,2)</f>
        <v>15399.64</v>
      </c>
      <c r="T32" s="9">
        <f>ROUND(L32*0.02,2)</f>
        <v>45628.56</v>
      </c>
      <c r="U32" s="9"/>
      <c r="V32" s="40">
        <f t="shared" ref="V32" si="325">E32/W32</f>
        <v>2154.5668721668158</v>
      </c>
      <c r="W32" s="10">
        <v>1103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 t="shared" si="97"/>
        <v>44569</v>
      </c>
      <c r="B33" s="9">
        <v>14929352.200000001</v>
      </c>
      <c r="C33" s="9">
        <v>13367322.170000002</v>
      </c>
      <c r="D33" s="9">
        <v>263064</v>
      </c>
      <c r="E33" s="9">
        <f t="shared" ref="E33" si="326">B33-C33-D33</f>
        <v>1298966.0299999993</v>
      </c>
      <c r="F33" s="9">
        <f>ROUND(E33*0.04,2)+0.01</f>
        <v>51958.65</v>
      </c>
      <c r="G33" s="9">
        <f t="shared" ref="G33" si="327">ROUND(E33*0,2)</f>
        <v>0</v>
      </c>
      <c r="H33" s="9">
        <f t="shared" ref="H33" si="328">E33-F33-G33</f>
        <v>1247007.3799999994</v>
      </c>
      <c r="I33" s="9">
        <f t="shared" ref="I33" si="329">ROUND(H33*0,2)</f>
        <v>0</v>
      </c>
      <c r="J33" s="9">
        <f t="shared" ref="J33" si="330">ROUND((I33*0.58)+((I33*0.42)*0.1),2)</f>
        <v>0</v>
      </c>
      <c r="K33" s="9">
        <f t="shared" ref="K33" si="331">ROUND((I33*0.42)*0.9,2)</f>
        <v>0</v>
      </c>
      <c r="L33" s="66">
        <f t="shared" ref="L33" si="332">IF(J33+K33=I33,H33-I33,"ERROR")</f>
        <v>1247007.3799999994</v>
      </c>
      <c r="M33" s="9">
        <f t="shared" ref="M33" si="333">ROUND(L33*0.465,2)</f>
        <v>579858.43000000005</v>
      </c>
      <c r="N33" s="9">
        <f>ROUND(L33*0.3,2)-0.05</f>
        <v>374102.16000000003</v>
      </c>
      <c r="O33" s="9">
        <f>ROUND(L33*0.1285,2)+0.04</f>
        <v>160240.49000000002</v>
      </c>
      <c r="P33" s="9">
        <f t="shared" ref="P33" si="334">ROUND((L33*0.07)*0.9,2)</f>
        <v>78561.460000000006</v>
      </c>
      <c r="Q33" s="9">
        <f>ROUND(L33*0.01,2)+0.01</f>
        <v>12470.08</v>
      </c>
      <c r="R33" s="9">
        <f t="shared" ref="R33" si="335">ROUND((L33*0.0075)*0.9,2)</f>
        <v>8417.2999999999993</v>
      </c>
      <c r="S33" s="9">
        <f t="shared" ref="S33" si="336">ROUND((L33*0.0075)*0.9,2)</f>
        <v>8417.2999999999993</v>
      </c>
      <c r="T33" s="9">
        <f>ROUND(L33*0.02,2)+0.01</f>
        <v>24940.16</v>
      </c>
      <c r="U33" s="9"/>
      <c r="V33" s="40">
        <f t="shared" ref="V33" si="337">E33/W33</f>
        <v>1186.270347031963</v>
      </c>
      <c r="W33" s="10">
        <v>1095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 t="shared" si="97"/>
        <v>44576</v>
      </c>
      <c r="B34" s="9">
        <v>14688356.43</v>
      </c>
      <c r="C34" s="9">
        <v>13070013.379999999</v>
      </c>
      <c r="D34" s="9">
        <v>246461</v>
      </c>
      <c r="E34" s="9">
        <f t="shared" ref="E34" si="338">B34-C34-D34</f>
        <v>1371882.0500000007</v>
      </c>
      <c r="F34" s="9">
        <f>ROUND(E34*0.04,2)+0.01</f>
        <v>54875.29</v>
      </c>
      <c r="G34" s="9">
        <f t="shared" ref="G34" si="339">ROUND(E34*0,2)</f>
        <v>0</v>
      </c>
      <c r="H34" s="9">
        <f t="shared" ref="H34" si="340">E34-F34-G34</f>
        <v>1317006.7600000007</v>
      </c>
      <c r="I34" s="9">
        <f t="shared" ref="I34" si="341">ROUND(H34*0,2)</f>
        <v>0</v>
      </c>
      <c r="J34" s="9">
        <f t="shared" ref="J34" si="342">ROUND((I34*0.58)+((I34*0.42)*0.1),2)</f>
        <v>0</v>
      </c>
      <c r="K34" s="9">
        <f t="shared" ref="K34" si="343">ROUND((I34*0.42)*0.9,2)</f>
        <v>0</v>
      </c>
      <c r="L34" s="66">
        <f t="shared" ref="L34" si="344">IF(J34+K34=I34,H34-I34,"ERROR")</f>
        <v>1317006.7600000007</v>
      </c>
      <c r="M34" s="9">
        <f t="shared" ref="M34" si="345">ROUND(L34*0.465,2)</f>
        <v>612408.14</v>
      </c>
      <c r="N34" s="9">
        <f>ROUND(L34*0.3,2)+0.05</f>
        <v>395102.08</v>
      </c>
      <c r="O34" s="9">
        <f>ROUND(L34*0.1285,2)-0.04</f>
        <v>169235.33</v>
      </c>
      <c r="P34" s="9">
        <f t="shared" ref="P34" si="346">ROUND((L34*0.07)*0.9,2)</f>
        <v>82971.429999999993</v>
      </c>
      <c r="Q34" s="9">
        <f>ROUND(L34*0.01,2)-0.01</f>
        <v>13170.06</v>
      </c>
      <c r="R34" s="9">
        <f t="shared" ref="R34" si="347">ROUND((L34*0.0075)*0.9,2)</f>
        <v>8889.7999999999993</v>
      </c>
      <c r="S34" s="9">
        <f t="shared" ref="S34" si="348">ROUND((L34*0.0075)*0.9,2)</f>
        <v>8889.7999999999993</v>
      </c>
      <c r="T34" s="9">
        <f>ROUND(L34*0.02,2)-0.02</f>
        <v>26340.12</v>
      </c>
      <c r="U34" s="9"/>
      <c r="V34" s="40">
        <f t="shared" ref="V34" si="349">E34/W34</f>
        <v>1252.860319634704</v>
      </c>
      <c r="W34" s="10">
        <v>1095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 t="shared" si="97"/>
        <v>44583</v>
      </c>
      <c r="B35" s="9">
        <v>13267203.880000001</v>
      </c>
      <c r="C35" s="9">
        <v>11744691.27</v>
      </c>
      <c r="D35" s="9">
        <v>232120</v>
      </c>
      <c r="E35" s="9">
        <f t="shared" ref="E35" si="350">B35-C35-D35</f>
        <v>1290392.6100000013</v>
      </c>
      <c r="F35" s="9">
        <f>ROUND(E35*0.04,2)+0.01</f>
        <v>51615.71</v>
      </c>
      <c r="G35" s="9">
        <f t="shared" ref="G35" si="351">ROUND(E35*0,2)</f>
        <v>0</v>
      </c>
      <c r="H35" s="9">
        <f t="shared" ref="H35" si="352">E35-F35-G35</f>
        <v>1238776.9000000013</v>
      </c>
      <c r="I35" s="9">
        <f t="shared" ref="I35" si="353">ROUND(H35*0,2)</f>
        <v>0</v>
      </c>
      <c r="J35" s="9">
        <f t="shared" ref="J35" si="354">ROUND((I35*0.58)+((I35*0.42)*0.1),2)</f>
        <v>0</v>
      </c>
      <c r="K35" s="9">
        <f t="shared" ref="K35" si="355">ROUND((I35*0.42)*0.9,2)</f>
        <v>0</v>
      </c>
      <c r="L35" s="66">
        <f t="shared" ref="L35" si="356">IF(J35+K35=I35,H35-I35,"ERROR")</f>
        <v>1238776.9000000013</v>
      </c>
      <c r="M35" s="9">
        <f t="shared" ref="M35" si="357">ROUND(L35*0.465,2)</f>
        <v>576031.26</v>
      </c>
      <c r="N35" s="9">
        <f>ROUND(L35*0.3,2)+0.05</f>
        <v>371633.12</v>
      </c>
      <c r="O35" s="9">
        <f>ROUND(L35*0.1285,2)-0.01</f>
        <v>159182.81999999998</v>
      </c>
      <c r="P35" s="9">
        <f t="shared" ref="P35" si="358">ROUND((L35*0.07)*0.9,2)</f>
        <v>78042.94</v>
      </c>
      <c r="Q35" s="9">
        <f>ROUND(L35*0.01,2)-0.01</f>
        <v>12387.76</v>
      </c>
      <c r="R35" s="9">
        <f t="shared" ref="R35" si="359">ROUND((L35*0.0075)*0.9,2)</f>
        <v>8361.74</v>
      </c>
      <c r="S35" s="9">
        <f t="shared" ref="S35" si="360">ROUND((L35*0.0075)*0.9,2)</f>
        <v>8361.74</v>
      </c>
      <c r="T35" s="9">
        <f>ROUND(L35*0.02,2)-0.02</f>
        <v>24775.52</v>
      </c>
      <c r="U35" s="9"/>
      <c r="V35" s="40">
        <f t="shared" ref="V35" si="361">E35/W35</f>
        <v>1203.7244496268668</v>
      </c>
      <c r="W35" s="10">
        <v>1072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 t="shared" si="97"/>
        <v>44590</v>
      </c>
      <c r="B36" s="9">
        <v>13723678.52</v>
      </c>
      <c r="C36" s="9">
        <v>12201123.629999999</v>
      </c>
      <c r="D36" s="9">
        <v>239046</v>
      </c>
      <c r="E36" s="9">
        <f t="shared" ref="E36" si="362">B36-C36-D36</f>
        <v>1283508.8900000006</v>
      </c>
      <c r="F36" s="9">
        <f>ROUND(E36*0.04,2)-0.01</f>
        <v>51340.35</v>
      </c>
      <c r="G36" s="9">
        <f t="shared" ref="G36" si="363">ROUND(E36*0,2)</f>
        <v>0</v>
      </c>
      <c r="H36" s="9">
        <f t="shared" ref="H36" si="364">E36-F36-G36</f>
        <v>1232168.5400000005</v>
      </c>
      <c r="I36" s="9">
        <f t="shared" ref="I36" si="365">ROUND(H36*0,2)</f>
        <v>0</v>
      </c>
      <c r="J36" s="9">
        <f t="shared" ref="J36" si="366">ROUND((I36*0.58)+((I36*0.42)*0.1),2)</f>
        <v>0</v>
      </c>
      <c r="K36" s="9">
        <f t="shared" ref="K36" si="367">ROUND((I36*0.42)*0.9,2)</f>
        <v>0</v>
      </c>
      <c r="L36" s="66">
        <f t="shared" ref="L36" si="368">IF(J36+K36=I36,H36-I36,"ERROR")</f>
        <v>1232168.5400000005</v>
      </c>
      <c r="M36" s="9">
        <f t="shared" ref="M36" si="369">ROUND(L36*0.465,2)</f>
        <v>572958.37</v>
      </c>
      <c r="N36" s="9">
        <f>ROUND(L36*0.3,2)+0.03</f>
        <v>369650.59</v>
      </c>
      <c r="O36" s="9">
        <f>ROUND(L36*0.1285,2)-0.02</f>
        <v>158333.64000000001</v>
      </c>
      <c r="P36" s="9">
        <f t="shared" ref="P36" si="370">ROUND((L36*0.07)*0.9,2)</f>
        <v>77626.62</v>
      </c>
      <c r="Q36" s="9">
        <f>ROUND(L36*0.01,2)-0.01</f>
        <v>12321.68</v>
      </c>
      <c r="R36" s="9">
        <f t="shared" ref="R36" si="371">ROUND((L36*0.0075)*0.9,2)</f>
        <v>8317.14</v>
      </c>
      <c r="S36" s="9">
        <f t="shared" ref="S36" si="372">ROUND((L36*0.0075)*0.9,2)</f>
        <v>8317.14</v>
      </c>
      <c r="T36" s="9">
        <f>ROUND(L36*0.02,2)-0.01</f>
        <v>24643.360000000001</v>
      </c>
      <c r="U36" s="9"/>
      <c r="V36" s="40">
        <f t="shared" ref="V36" si="373">E36/W36</f>
        <v>1192.8521282527886</v>
      </c>
      <c r="W36" s="10">
        <v>1076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 t="shared" si="97"/>
        <v>44597</v>
      </c>
      <c r="B37" s="9">
        <v>12907822.050000001</v>
      </c>
      <c r="C37" s="9">
        <v>11413813.65</v>
      </c>
      <c r="D37" s="9">
        <v>213061</v>
      </c>
      <c r="E37" s="9">
        <f t="shared" ref="E37" si="374">B37-C37-D37</f>
        <v>1280947.4000000004</v>
      </c>
      <c r="F37" s="9">
        <f>ROUND(E37*0.04,2)</f>
        <v>51237.9</v>
      </c>
      <c r="G37" s="9">
        <f t="shared" ref="G37" si="375">ROUND(E37*0,2)</f>
        <v>0</v>
      </c>
      <c r="H37" s="9">
        <f t="shared" ref="H37" si="376">E37-F37-G37</f>
        <v>1229709.5000000005</v>
      </c>
      <c r="I37" s="9">
        <f t="shared" ref="I37" si="377">ROUND(H37*0,2)</f>
        <v>0</v>
      </c>
      <c r="J37" s="9">
        <f t="shared" ref="J37" si="378">ROUND((I37*0.58)+((I37*0.42)*0.1),2)</f>
        <v>0</v>
      </c>
      <c r="K37" s="9">
        <f t="shared" ref="K37" si="379">ROUND((I37*0.42)*0.9,2)</f>
        <v>0</v>
      </c>
      <c r="L37" s="66">
        <f t="shared" ref="L37" si="380">IF(J37+K37=I37,H37-I37,"ERROR")</f>
        <v>1229709.5000000005</v>
      </c>
      <c r="M37" s="9">
        <f t="shared" ref="M37" si="381">ROUND(L37*0.465,2)</f>
        <v>571814.92000000004</v>
      </c>
      <c r="N37" s="9">
        <f>ROUND(L37*0.3,2)-0.04</f>
        <v>368912.81</v>
      </c>
      <c r="O37" s="9">
        <f>ROUND(L37*0.1285,2)+0.02</f>
        <v>158017.69</v>
      </c>
      <c r="P37" s="9">
        <f t="shared" ref="P37" si="382">ROUND((L37*0.07)*0.9,2)</f>
        <v>77471.7</v>
      </c>
      <c r="Q37" s="9">
        <f>ROUND(L37*0.01,2)</f>
        <v>12297.1</v>
      </c>
      <c r="R37" s="9">
        <f t="shared" ref="R37" si="383">ROUND((L37*0.0075)*0.9,2)</f>
        <v>8300.5400000000009</v>
      </c>
      <c r="S37" s="9">
        <f t="shared" ref="S37" si="384">ROUND((L37*0.0075)*0.9,2)</f>
        <v>8300.5400000000009</v>
      </c>
      <c r="T37" s="9">
        <f>ROUND(L37*0.02,2)+0.01</f>
        <v>24594.199999999997</v>
      </c>
      <c r="U37" s="9"/>
      <c r="V37" s="40">
        <f t="shared" ref="V37" si="385">E37/W37</f>
        <v>1209.5820585457982</v>
      </c>
      <c r="W37" s="10">
        <v>1059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 t="shared" si="97"/>
        <v>44604</v>
      </c>
      <c r="B38" s="9">
        <v>17431935.719999999</v>
      </c>
      <c r="C38" s="9">
        <v>15518922.889999999</v>
      </c>
      <c r="D38" s="9">
        <v>265754</v>
      </c>
      <c r="E38" s="9">
        <f t="shared" ref="E38" si="386">B38-C38-D38</f>
        <v>1647258.83</v>
      </c>
      <c r="F38" s="9">
        <f>ROUND(E38*0.04,2)+0.01</f>
        <v>65890.36</v>
      </c>
      <c r="G38" s="9">
        <f t="shared" ref="G38" si="387">ROUND(E38*0,2)</f>
        <v>0</v>
      </c>
      <c r="H38" s="9">
        <f t="shared" ref="H38" si="388">E38-F38-G38</f>
        <v>1581368.47</v>
      </c>
      <c r="I38" s="9">
        <f t="shared" ref="I38" si="389">ROUND(H38*0,2)</f>
        <v>0</v>
      </c>
      <c r="J38" s="9">
        <f t="shared" ref="J38" si="390">ROUND((I38*0.58)+((I38*0.42)*0.1),2)</f>
        <v>0</v>
      </c>
      <c r="K38" s="9">
        <f t="shared" ref="K38" si="391">ROUND((I38*0.42)*0.9,2)</f>
        <v>0</v>
      </c>
      <c r="L38" s="66">
        <f t="shared" ref="L38" si="392">IF(J38+K38=I38,H38-I38,"ERROR")</f>
        <v>1581368.47</v>
      </c>
      <c r="M38" s="9">
        <f t="shared" ref="M38" si="393">ROUND(L38*0.465,2)</f>
        <v>735336.34</v>
      </c>
      <c r="N38" s="9">
        <f>ROUND(L38*0.3,2)+0.03</f>
        <v>474410.57</v>
      </c>
      <c r="O38" s="9">
        <f>ROUND(L38*0.1285,2)-0.02</f>
        <v>203205.83000000002</v>
      </c>
      <c r="P38" s="9">
        <f t="shared" ref="P38" si="394">ROUND((L38*0.07)*0.9,2)</f>
        <v>99626.21</v>
      </c>
      <c r="Q38" s="9">
        <f>ROUND(L38*0.01,2)</f>
        <v>15813.68</v>
      </c>
      <c r="R38" s="9">
        <f t="shared" ref="R38" si="395">ROUND((L38*0.0075)*0.9,2)</f>
        <v>10674.24</v>
      </c>
      <c r="S38" s="9">
        <f t="shared" ref="S38" si="396">ROUND((L38*0.0075)*0.9,2)</f>
        <v>10674.24</v>
      </c>
      <c r="T38" s="9">
        <f>ROUND(L38*0.02,2)-0.01</f>
        <v>31627.360000000001</v>
      </c>
      <c r="U38" s="9"/>
      <c r="V38" s="40">
        <f t="shared" ref="V38" si="397">E38/W38</f>
        <v>1504.3459634703197</v>
      </c>
      <c r="W38" s="10">
        <v>1095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 t="shared" si="97"/>
        <v>44611</v>
      </c>
      <c r="B39" s="9">
        <v>17553502.030000001</v>
      </c>
      <c r="C39" s="9">
        <v>15599976.119999999</v>
      </c>
      <c r="D39" s="9">
        <v>255552</v>
      </c>
      <c r="E39" s="9">
        <f t="shared" ref="E39" si="398">B39-C39-D39</f>
        <v>1697973.910000002</v>
      </c>
      <c r="F39" s="9">
        <f>ROUND(E39*0.04,2)</f>
        <v>67918.960000000006</v>
      </c>
      <c r="G39" s="9">
        <f t="shared" ref="G39" si="399">ROUND(E39*0,2)</f>
        <v>0</v>
      </c>
      <c r="H39" s="9">
        <f t="shared" ref="H39" si="400">E39-F39-G39</f>
        <v>1630054.950000002</v>
      </c>
      <c r="I39" s="9">
        <f t="shared" ref="I39" si="401">ROUND(H39*0,2)</f>
        <v>0</v>
      </c>
      <c r="J39" s="9">
        <f t="shared" ref="J39" si="402">ROUND((I39*0.58)+((I39*0.42)*0.1),2)</f>
        <v>0</v>
      </c>
      <c r="K39" s="9">
        <f t="shared" ref="K39" si="403">ROUND((I39*0.42)*0.9,2)</f>
        <v>0</v>
      </c>
      <c r="L39" s="66">
        <f t="shared" ref="L39" si="404">IF(J39+K39=I39,H39-I39,"ERROR")</f>
        <v>1630054.950000002</v>
      </c>
      <c r="M39" s="9">
        <f t="shared" ref="M39" si="405">ROUND(L39*0.465,2)</f>
        <v>757975.55</v>
      </c>
      <c r="N39" s="9">
        <f>ROUND(L39*0.3,2)+0.04</f>
        <v>489016.52999999997</v>
      </c>
      <c r="O39" s="9">
        <f>ROUND(L39*0.1285,2)-0.01</f>
        <v>209462.05</v>
      </c>
      <c r="P39" s="9">
        <f t="shared" ref="P39" si="406">ROUND((L39*0.07)*0.9,2)</f>
        <v>102693.46</v>
      </c>
      <c r="Q39" s="9">
        <f>ROUND(L39*0.01,2)-0.01</f>
        <v>16300.539999999999</v>
      </c>
      <c r="R39" s="9">
        <f t="shared" ref="R39" si="407">ROUND((L39*0.0075)*0.9,2)</f>
        <v>11002.87</v>
      </c>
      <c r="S39" s="9">
        <f t="shared" ref="S39" si="408">ROUND((L39*0.0075)*0.9,2)</f>
        <v>11002.87</v>
      </c>
      <c r="T39" s="9">
        <f>ROUND(L39*0.02,2)-0.02</f>
        <v>32601.079999999998</v>
      </c>
      <c r="U39" s="9"/>
      <c r="V39" s="40">
        <f t="shared" ref="V39" si="409">E39/W39</f>
        <v>1559.2046923783305</v>
      </c>
      <c r="W39" s="10">
        <v>1089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 t="shared" si="97"/>
        <v>44618</v>
      </c>
      <c r="B40" s="9">
        <v>19699524.560000002</v>
      </c>
      <c r="C40" s="9">
        <v>17480927.579999998</v>
      </c>
      <c r="D40" s="9">
        <v>289068</v>
      </c>
      <c r="E40" s="9">
        <f t="shared" ref="E40" si="410">B40-C40-D40</f>
        <v>1929528.9800000042</v>
      </c>
      <c r="F40" s="9">
        <f>ROUND(E40*0.04,2)</f>
        <v>77181.16</v>
      </c>
      <c r="G40" s="9">
        <f t="shared" ref="G40" si="411">ROUND(E40*0,2)</f>
        <v>0</v>
      </c>
      <c r="H40" s="9">
        <f t="shared" ref="H40" si="412">E40-F40-G40</f>
        <v>1852347.8200000043</v>
      </c>
      <c r="I40" s="9">
        <f t="shared" ref="I40" si="413">ROUND(H40*0,2)</f>
        <v>0</v>
      </c>
      <c r="J40" s="9">
        <f t="shared" ref="J40" si="414">ROUND((I40*0.58)+((I40*0.42)*0.1),2)</f>
        <v>0</v>
      </c>
      <c r="K40" s="9">
        <f t="shared" ref="K40" si="415">ROUND((I40*0.42)*0.9,2)</f>
        <v>0</v>
      </c>
      <c r="L40" s="66">
        <f t="shared" ref="L40" si="416">IF(J40+K40=I40,H40-I40,"ERROR")</f>
        <v>1852347.8200000043</v>
      </c>
      <c r="M40" s="9">
        <f t="shared" ref="M40" si="417">ROUND(L40*0.465,2)</f>
        <v>861341.74</v>
      </c>
      <c r="N40" s="9">
        <f>ROUND(L40*0.3,2)-0.02</f>
        <v>555704.32999999996</v>
      </c>
      <c r="O40" s="9">
        <f>ROUND(L40*0.1285,2)+0.01</f>
        <v>238026.7</v>
      </c>
      <c r="P40" s="9">
        <f t="shared" ref="P40" si="418">ROUND((L40*0.07)*0.9,2)</f>
        <v>116697.91</v>
      </c>
      <c r="Q40" s="9">
        <f>ROUND(L40*0.01,2)</f>
        <v>18523.48</v>
      </c>
      <c r="R40" s="9">
        <f t="shared" ref="R40" si="419">ROUND((L40*0.0075)*0.9,2)</f>
        <v>12503.35</v>
      </c>
      <c r="S40" s="9">
        <f t="shared" ref="S40" si="420">ROUND((L40*0.0075)*0.9,2)</f>
        <v>12503.35</v>
      </c>
      <c r="T40" s="9">
        <f>ROUND(L40*0.02,2)</f>
        <v>37046.959999999999</v>
      </c>
      <c r="U40" s="9"/>
      <c r="V40" s="40">
        <f t="shared" ref="V40" si="421">E40/W40</f>
        <v>1773.4641360294156</v>
      </c>
      <c r="W40" s="10">
        <v>1088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 t="shared" si="97"/>
        <v>44625</v>
      </c>
      <c r="B41" s="9">
        <v>20482344.800000001</v>
      </c>
      <c r="C41" s="9">
        <v>18292234.949999999</v>
      </c>
      <c r="D41" s="9">
        <v>303176</v>
      </c>
      <c r="E41" s="9">
        <f t="shared" ref="E41" si="422">B41-C41-D41</f>
        <v>1886933.8500000015</v>
      </c>
      <c r="F41" s="9">
        <f>ROUND(E41*0.04,2)+0.02</f>
        <v>75477.37000000001</v>
      </c>
      <c r="G41" s="9">
        <f t="shared" ref="G41" si="423">ROUND(E41*0,2)</f>
        <v>0</v>
      </c>
      <c r="H41" s="9">
        <f t="shared" ref="H41" si="424">E41-F41-G41</f>
        <v>1811456.4800000014</v>
      </c>
      <c r="I41" s="9">
        <f t="shared" ref="I41" si="425">ROUND(H41*0,2)</f>
        <v>0</v>
      </c>
      <c r="J41" s="9">
        <f t="shared" ref="J41" si="426">ROUND((I41*0.58)+((I41*0.42)*0.1),2)</f>
        <v>0</v>
      </c>
      <c r="K41" s="9">
        <f t="shared" ref="K41" si="427">ROUND((I41*0.42)*0.9,2)</f>
        <v>0</v>
      </c>
      <c r="L41" s="66">
        <f t="shared" ref="L41" si="428">IF(J41+K41=I41,H41-I41,"ERROR")</f>
        <v>1811456.4800000014</v>
      </c>
      <c r="M41" s="9">
        <f t="shared" ref="M41" si="429">ROUND(L41*0.465,2)</f>
        <v>842327.26</v>
      </c>
      <c r="N41" s="9">
        <f>ROUND(L41*0.3,2)+0.05</f>
        <v>543436.99</v>
      </c>
      <c r="O41" s="9">
        <f>ROUND(L41*0.1285,2)-0.03</f>
        <v>232772.13</v>
      </c>
      <c r="P41" s="9">
        <f t="shared" ref="P41" si="430">ROUND((L41*0.07)*0.9,2)</f>
        <v>114121.76</v>
      </c>
      <c r="Q41" s="9">
        <f>ROUND(L41*0.01,2)</f>
        <v>18114.560000000001</v>
      </c>
      <c r="R41" s="9">
        <f t="shared" ref="R41" si="431">ROUND((L41*0.0075)*0.9,2)</f>
        <v>12227.33</v>
      </c>
      <c r="S41" s="9">
        <f t="shared" ref="S41" si="432">ROUND((L41*0.0075)*0.9,2)</f>
        <v>12227.33</v>
      </c>
      <c r="T41" s="9">
        <f>ROUND(L41*0.02,2)-0.01</f>
        <v>36229.119999999995</v>
      </c>
      <c r="U41" s="9"/>
      <c r="V41" s="40">
        <f t="shared" ref="V41" si="433">E41/W41</f>
        <v>1729.5452337305239</v>
      </c>
      <c r="W41" s="10">
        <v>1091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 t="shared" si="97"/>
        <v>44632</v>
      </c>
      <c r="B42" s="9">
        <v>16901005.73</v>
      </c>
      <c r="C42" s="9">
        <v>15063039.800000001</v>
      </c>
      <c r="D42" s="9">
        <v>254358</v>
      </c>
      <c r="E42" s="9">
        <f t="shared" ref="E42" si="434">B42-C42-D42</f>
        <v>1583607.9299999997</v>
      </c>
      <c r="F42" s="9">
        <f>ROUND(E42*0.04,2)</f>
        <v>63344.32</v>
      </c>
      <c r="G42" s="9">
        <f t="shared" ref="G42" si="435">ROUND(E42*0,2)</f>
        <v>0</v>
      </c>
      <c r="H42" s="9">
        <f t="shared" ref="H42" si="436">E42-F42-G42</f>
        <v>1520263.6099999996</v>
      </c>
      <c r="I42" s="9">
        <f t="shared" ref="I42" si="437">ROUND(H42*0,2)</f>
        <v>0</v>
      </c>
      <c r="J42" s="9">
        <f t="shared" ref="J42" si="438">ROUND((I42*0.58)+((I42*0.42)*0.1),2)</f>
        <v>0</v>
      </c>
      <c r="K42" s="9">
        <f t="shared" ref="K42" si="439">ROUND((I42*0.42)*0.9,2)</f>
        <v>0</v>
      </c>
      <c r="L42" s="66">
        <f t="shared" ref="L42" si="440">IF(J42+K42=I42,H42-I42,"ERROR")</f>
        <v>1520263.6099999996</v>
      </c>
      <c r="M42" s="9">
        <f t="shared" ref="M42" si="441">ROUND(L42*0.465,2)</f>
        <v>706922.58</v>
      </c>
      <c r="N42" s="9">
        <f>ROUND(L42*0.3,2)-0.01</f>
        <v>456079.07</v>
      </c>
      <c r="O42" s="9">
        <f>ROUND(L42*0.1285,2)</f>
        <v>195353.87</v>
      </c>
      <c r="P42" s="9">
        <f t="shared" ref="P42" si="442">ROUND((L42*0.07)*0.9,2)</f>
        <v>95776.61</v>
      </c>
      <c r="Q42" s="9">
        <f>ROUND(L42*0.01,2)</f>
        <v>15202.64</v>
      </c>
      <c r="R42" s="9">
        <f t="shared" ref="R42" si="443">ROUND((L42*0.0075)*0.9,2)</f>
        <v>10261.780000000001</v>
      </c>
      <c r="S42" s="9">
        <f t="shared" ref="S42" si="444">ROUND((L42*0.0075)*0.9,2)</f>
        <v>10261.780000000001</v>
      </c>
      <c r="T42" s="9">
        <f>ROUND(L42*0.02,2)+0.01</f>
        <v>30405.279999999999</v>
      </c>
      <c r="U42" s="9"/>
      <c r="V42" s="40">
        <f t="shared" ref="V42" si="445">E42/W42</f>
        <v>1444.8977463503647</v>
      </c>
      <c r="W42" s="10">
        <v>1096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 t="shared" si="97"/>
        <v>44639</v>
      </c>
      <c r="B43" s="9">
        <v>19292186.57</v>
      </c>
      <c r="C43" s="9">
        <v>17342466.870000001</v>
      </c>
      <c r="D43" s="9">
        <v>279000</v>
      </c>
      <c r="E43" s="9">
        <f t="shared" ref="E43" si="446">B43-C43-D43</f>
        <v>1670719.6999999993</v>
      </c>
      <c r="F43" s="9">
        <f>ROUND(E43*0.04,2)</f>
        <v>66828.789999999994</v>
      </c>
      <c r="G43" s="9">
        <f t="shared" ref="G43" si="447">ROUND(E43*0,2)</f>
        <v>0</v>
      </c>
      <c r="H43" s="9">
        <f t="shared" ref="H43" si="448">E43-F43-G43</f>
        <v>1603890.9099999992</v>
      </c>
      <c r="I43" s="9">
        <f t="shared" ref="I43" si="449">ROUND(H43*0,2)</f>
        <v>0</v>
      </c>
      <c r="J43" s="9">
        <f t="shared" ref="J43" si="450">ROUND((I43*0.58)+((I43*0.42)*0.1),2)</f>
        <v>0</v>
      </c>
      <c r="K43" s="9">
        <f t="shared" ref="K43" si="451">ROUND((I43*0.42)*0.9,2)</f>
        <v>0</v>
      </c>
      <c r="L43" s="66">
        <f t="shared" ref="L43" si="452">IF(J43+K43=I43,H43-I43,"ERROR")</f>
        <v>1603890.9099999992</v>
      </c>
      <c r="M43" s="9">
        <f t="shared" ref="M43" si="453">ROUND(L43*0.465,2)</f>
        <v>745809.27</v>
      </c>
      <c r="N43" s="9">
        <f>ROUND(L43*0.3,2)+0.07</f>
        <v>481167.34</v>
      </c>
      <c r="O43" s="9">
        <f>ROUND(L43*0.1285,2)-0.03</f>
        <v>206099.95</v>
      </c>
      <c r="P43" s="9">
        <f t="shared" ref="P43" si="454">ROUND((L43*0.07)*0.9,2)</f>
        <v>101045.13</v>
      </c>
      <c r="Q43" s="9">
        <f>ROUND(L43*0.01,2)-0.01</f>
        <v>16038.9</v>
      </c>
      <c r="R43" s="9">
        <f t="shared" ref="R43" si="455">ROUND((L43*0.0075)*0.9,2)</f>
        <v>10826.26</v>
      </c>
      <c r="S43" s="9">
        <f t="shared" ref="S43" si="456">ROUND((L43*0.0075)*0.9,2)</f>
        <v>10826.26</v>
      </c>
      <c r="T43" s="9">
        <f>ROUND(L43*0.02,2)-0.02</f>
        <v>32077.8</v>
      </c>
      <c r="U43" s="9"/>
      <c r="V43" s="40">
        <f t="shared" ref="V43" si="457">E43/W43</f>
        <v>1517.4565849227968</v>
      </c>
      <c r="W43" s="10">
        <v>1101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 t="shared" si="97"/>
        <v>44646</v>
      </c>
      <c r="B44" s="9">
        <v>19964920.18</v>
      </c>
      <c r="C44" s="9">
        <v>17783134.449999999</v>
      </c>
      <c r="D44" s="9">
        <v>296795</v>
      </c>
      <c r="E44" s="9">
        <f t="shared" ref="E44" si="458">B44-C44-D44</f>
        <v>1884990.7300000004</v>
      </c>
      <c r="F44" s="9">
        <f>ROUND(E44*0.04,2)+0.01</f>
        <v>75399.64</v>
      </c>
      <c r="G44" s="9">
        <f t="shared" ref="G44" si="459">ROUND(E44*0,2)</f>
        <v>0</v>
      </c>
      <c r="H44" s="9">
        <f t="shared" ref="H44" si="460">E44-F44-G44</f>
        <v>1809591.0900000005</v>
      </c>
      <c r="I44" s="9">
        <f t="shared" ref="I44" si="461">ROUND(H44*0,2)</f>
        <v>0</v>
      </c>
      <c r="J44" s="9">
        <f t="shared" ref="J44" si="462">ROUND((I44*0.58)+((I44*0.42)*0.1),2)</f>
        <v>0</v>
      </c>
      <c r="K44" s="9">
        <f t="shared" ref="K44" si="463">ROUND((I44*0.42)*0.9,2)</f>
        <v>0</v>
      </c>
      <c r="L44" s="66">
        <f t="shared" ref="L44" si="464">IF(J44+K44=I44,H44-I44,"ERROR")</f>
        <v>1809591.0900000005</v>
      </c>
      <c r="M44" s="9">
        <f t="shared" ref="M44" si="465">ROUND(L44*0.465,2)</f>
        <v>841459.86</v>
      </c>
      <c r="N44" s="9">
        <f>ROUND(L44*0.3,2)-0.06</f>
        <v>542877.2699999999</v>
      </c>
      <c r="O44" s="9">
        <f>ROUND(L44*0.1285,2)+0.02</f>
        <v>232532.47999999998</v>
      </c>
      <c r="P44" s="9">
        <f t="shared" ref="P44" si="466">ROUND((L44*0.07)*0.9,2)</f>
        <v>114004.24</v>
      </c>
      <c r="Q44" s="9">
        <f>ROUND(L44*0.01,2)+0.01</f>
        <v>18095.919999999998</v>
      </c>
      <c r="R44" s="9">
        <f t="shared" ref="R44" si="467">ROUND((L44*0.0075)*0.9,2)</f>
        <v>12214.74</v>
      </c>
      <c r="S44" s="9">
        <f t="shared" ref="S44" si="468">ROUND((L44*0.0075)*0.9,2)</f>
        <v>12214.74</v>
      </c>
      <c r="T44" s="9">
        <f>ROUND(L44*0.02,2)+0.02</f>
        <v>36191.839999999997</v>
      </c>
      <c r="U44" s="9"/>
      <c r="V44" s="40">
        <f t="shared" ref="V44" si="469">E44/W44</f>
        <v>1721.4527214611876</v>
      </c>
      <c r="W44" s="10">
        <v>1095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 t="shared" si="97"/>
        <v>44653</v>
      </c>
      <c r="B45" s="9">
        <v>19945730.559999999</v>
      </c>
      <c r="C45" s="9">
        <v>17715956.130000003</v>
      </c>
      <c r="D45" s="9">
        <v>295430</v>
      </c>
      <c r="E45" s="9">
        <f t="shared" ref="E45" si="470">B45-C45-D45</f>
        <v>1934344.429999996</v>
      </c>
      <c r="F45" s="9">
        <f>ROUND(E45*0.04,2)</f>
        <v>77373.78</v>
      </c>
      <c r="G45" s="9">
        <f t="shared" ref="G45" si="471">ROUND(E45*0,2)</f>
        <v>0</v>
      </c>
      <c r="H45" s="9">
        <f t="shared" ref="H45" si="472">E45-F45-G45</f>
        <v>1856970.6499999959</v>
      </c>
      <c r="I45" s="9">
        <f t="shared" ref="I45" si="473">ROUND(H45*0,2)</f>
        <v>0</v>
      </c>
      <c r="J45" s="9">
        <f t="shared" ref="J45" si="474">ROUND((I45*0.58)+((I45*0.42)*0.1),2)</f>
        <v>0</v>
      </c>
      <c r="K45" s="9">
        <f t="shared" ref="K45" si="475">ROUND((I45*0.42)*0.9,2)</f>
        <v>0</v>
      </c>
      <c r="L45" s="66">
        <f t="shared" ref="L45" si="476">IF(J45+K45=I45,H45-I45,"ERROR")</f>
        <v>1856970.6499999959</v>
      </c>
      <c r="M45" s="9">
        <f t="shared" ref="M45" si="477">ROUND(L45*0.465,2)</f>
        <v>863491.35</v>
      </c>
      <c r="N45" s="9">
        <f>ROUND(L45*0.3,2)+0.03</f>
        <v>557091.22</v>
      </c>
      <c r="O45" s="9">
        <f>ROUND(L45*0.1285,2)</f>
        <v>238620.73</v>
      </c>
      <c r="P45" s="9">
        <f t="shared" ref="P45" si="478">ROUND((L45*0.07)*0.9,2)</f>
        <v>116989.15</v>
      </c>
      <c r="Q45" s="9">
        <f>ROUND(L45*0.01,2)-0.01</f>
        <v>18569.7</v>
      </c>
      <c r="R45" s="9">
        <f t="shared" ref="R45" si="479">ROUND((L45*0.0075)*0.9,2)</f>
        <v>12534.55</v>
      </c>
      <c r="S45" s="9">
        <f t="shared" ref="S45" si="480">ROUND((L45*0.0075)*0.9,2)</f>
        <v>12534.55</v>
      </c>
      <c r="T45" s="9">
        <f>ROUND(L45*0.02,2)-0.01</f>
        <v>37139.4</v>
      </c>
      <c r="U45" s="9"/>
      <c r="V45" s="40">
        <f t="shared" ref="V45" si="481">E45/W45</f>
        <v>1764.9128010948868</v>
      </c>
      <c r="W45" s="10">
        <v>1096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 t="shared" si="97"/>
        <v>44660</v>
      </c>
      <c r="B46" s="9">
        <v>19954717.440000001</v>
      </c>
      <c r="C46" s="9">
        <v>17945922.380000003</v>
      </c>
      <c r="D46" s="9">
        <v>282299</v>
      </c>
      <c r="E46" s="9">
        <f t="shared" ref="E46" si="482">B46-C46-D46</f>
        <v>1726496.0599999987</v>
      </c>
      <c r="F46" s="9">
        <f>ROUND(E46*0.04,2)+0.01</f>
        <v>69059.849999999991</v>
      </c>
      <c r="G46" s="9">
        <f t="shared" ref="G46" si="483">ROUND(E46*0,2)</f>
        <v>0</v>
      </c>
      <c r="H46" s="9">
        <f t="shared" ref="H46" si="484">E46-F46-G46</f>
        <v>1657436.2099999986</v>
      </c>
      <c r="I46" s="9">
        <f t="shared" ref="I46" si="485">ROUND(H46*0,2)</f>
        <v>0</v>
      </c>
      <c r="J46" s="9">
        <f t="shared" ref="J46" si="486">ROUND((I46*0.58)+((I46*0.42)*0.1),2)</f>
        <v>0</v>
      </c>
      <c r="K46" s="9">
        <f t="shared" ref="K46" si="487">ROUND((I46*0.42)*0.9,2)</f>
        <v>0</v>
      </c>
      <c r="L46" s="66">
        <f t="shared" ref="L46" si="488">IF(J46+K46=I46,H46-I46,"ERROR")</f>
        <v>1657436.2099999986</v>
      </c>
      <c r="M46" s="9">
        <f t="shared" ref="M46" si="489">ROUND(L46*0.465,2)</f>
        <v>770707.84</v>
      </c>
      <c r="N46" s="9">
        <f>ROUND(L46*0.3,2)+0.02</f>
        <v>497230.88</v>
      </c>
      <c r="O46" s="9">
        <f>ROUND(L46*0.1285,2)</f>
        <v>212980.55</v>
      </c>
      <c r="P46" s="9">
        <f t="shared" ref="P46" si="490">ROUND((L46*0.07)*0.9,2)</f>
        <v>104418.48</v>
      </c>
      <c r="Q46" s="9">
        <f>ROUND(L46*0.01,2)</f>
        <v>16574.36</v>
      </c>
      <c r="R46" s="9">
        <f t="shared" ref="R46" si="491">ROUND((L46*0.0075)*0.9,2)</f>
        <v>11187.69</v>
      </c>
      <c r="S46" s="9">
        <f t="shared" ref="S46" si="492">ROUND((L46*0.0075)*0.9,2)</f>
        <v>11187.69</v>
      </c>
      <c r="T46" s="9">
        <f>ROUND(L46*0.02,2)</f>
        <v>33148.720000000001</v>
      </c>
      <c r="U46" s="9"/>
      <c r="V46" s="40">
        <f t="shared" ref="V46" si="493">E46/W46</f>
        <v>1993.6444110854488</v>
      </c>
      <c r="W46" s="10">
        <v>866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 t="shared" si="97"/>
        <v>44667</v>
      </c>
      <c r="B47" s="9">
        <v>17740330.18</v>
      </c>
      <c r="C47" s="9">
        <v>15882094.41</v>
      </c>
      <c r="D47" s="9">
        <v>279800</v>
      </c>
      <c r="E47" s="9">
        <f t="shared" ref="E47" si="494">B47-C47-D47</f>
        <v>1578435.7699999996</v>
      </c>
      <c r="F47" s="9">
        <f>ROUND(E47*0.04,2)</f>
        <v>63137.43</v>
      </c>
      <c r="G47" s="9">
        <f t="shared" ref="G47" si="495">ROUND(E47*0,2)</f>
        <v>0</v>
      </c>
      <c r="H47" s="9">
        <f t="shared" ref="H47" si="496">E47-F47-G47</f>
        <v>1515298.3399999996</v>
      </c>
      <c r="I47" s="9">
        <f t="shared" ref="I47" si="497">ROUND(H47*0,2)</f>
        <v>0</v>
      </c>
      <c r="J47" s="9">
        <f t="shared" ref="J47" si="498">ROUND((I47*0.58)+((I47*0.42)*0.1),2)</f>
        <v>0</v>
      </c>
      <c r="K47" s="9">
        <f t="shared" ref="K47" si="499">ROUND((I47*0.42)*0.9,2)</f>
        <v>0</v>
      </c>
      <c r="L47" s="66">
        <f t="shared" ref="L47" si="500">IF(J47+K47=I47,H47-I47,"ERROR")</f>
        <v>1515298.3399999996</v>
      </c>
      <c r="M47" s="9">
        <f t="shared" ref="M47" si="501">ROUND(L47*0.465,2)</f>
        <v>704613.73</v>
      </c>
      <c r="N47" s="9">
        <f>ROUND(L47*0.3,2)+0.02</f>
        <v>454589.52</v>
      </c>
      <c r="O47" s="9">
        <f>ROUND(L47*0.1285,2)-0.01</f>
        <v>194715.83</v>
      </c>
      <c r="P47" s="9">
        <f t="shared" ref="P47" si="502">ROUND((L47*0.07)*0.9,2)</f>
        <v>95463.8</v>
      </c>
      <c r="Q47" s="9">
        <f>ROUND(L47*0.01,2)</f>
        <v>15152.98</v>
      </c>
      <c r="R47" s="9">
        <f t="shared" ref="R47" si="503">ROUND((L47*0.0075)*0.9,2)</f>
        <v>10228.26</v>
      </c>
      <c r="S47" s="9">
        <f t="shared" ref="S47" si="504">ROUND((L47*0.0075)*0.9,2)</f>
        <v>10228.26</v>
      </c>
      <c r="T47" s="9">
        <f>ROUND(L47*0.02,2)-0.01</f>
        <v>30305.960000000003</v>
      </c>
      <c r="U47" s="9"/>
      <c r="V47" s="40">
        <f t="shared" ref="V47" si="505">E47/W47</f>
        <v>1908.6285006045944</v>
      </c>
      <c r="W47" s="10">
        <v>827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 t="shared" si="97"/>
        <v>44674</v>
      </c>
      <c r="B48" s="9">
        <v>18805989.549999997</v>
      </c>
      <c r="C48" s="9">
        <v>16767157.34</v>
      </c>
      <c r="D48" s="9">
        <v>262766</v>
      </c>
      <c r="E48" s="9">
        <f t="shared" ref="E48" si="506">B48-C48-D48</f>
        <v>1776066.2099999972</v>
      </c>
      <c r="F48" s="9">
        <f>ROUND(E48*0.04,2)+0.01</f>
        <v>71042.659999999989</v>
      </c>
      <c r="G48" s="9">
        <f t="shared" ref="G48" si="507">ROUND(E48*0,2)</f>
        <v>0</v>
      </c>
      <c r="H48" s="9">
        <f t="shared" ref="H48" si="508">E48-F48-G48</f>
        <v>1705023.5499999973</v>
      </c>
      <c r="I48" s="9">
        <f t="shared" ref="I48" si="509">ROUND(H48*0,2)</f>
        <v>0</v>
      </c>
      <c r="J48" s="9">
        <f t="shared" ref="J48" si="510">ROUND((I48*0.58)+((I48*0.42)*0.1),2)</f>
        <v>0</v>
      </c>
      <c r="K48" s="9">
        <f t="shared" ref="K48" si="511">ROUND((I48*0.42)*0.9,2)</f>
        <v>0</v>
      </c>
      <c r="L48" s="66">
        <f t="shared" ref="L48" si="512">IF(J48+K48=I48,H48-I48,"ERROR")</f>
        <v>1705023.5499999973</v>
      </c>
      <c r="M48" s="9">
        <f t="shared" ref="M48" si="513">ROUND(L48*0.465,2)</f>
        <v>792835.95</v>
      </c>
      <c r="N48" s="9">
        <f>ROUND(L48*0.3,2)-0.03</f>
        <v>511507.02999999997</v>
      </c>
      <c r="O48" s="9">
        <f>ROUND(L48*0.1285,2)+0.02</f>
        <v>219095.55</v>
      </c>
      <c r="P48" s="9">
        <f t="shared" ref="P48" si="514">ROUND((L48*0.07)*0.9,2)</f>
        <v>107416.48</v>
      </c>
      <c r="Q48" s="9">
        <f>ROUND(L48*0.01,2)</f>
        <v>17050.240000000002</v>
      </c>
      <c r="R48" s="9">
        <f t="shared" ref="R48" si="515">ROUND((L48*0.0075)*0.9,2)</f>
        <v>11508.91</v>
      </c>
      <c r="S48" s="9">
        <f t="shared" ref="S48" si="516">ROUND((L48*0.0075)*0.9,2)</f>
        <v>11508.91</v>
      </c>
      <c r="T48" s="9">
        <f>ROUND(L48*0.02,2)+0.01</f>
        <v>34100.480000000003</v>
      </c>
      <c r="U48" s="9"/>
      <c r="V48" s="40">
        <f t="shared" ref="V48" si="517">E48/W48</f>
        <v>2139.8388072289122</v>
      </c>
      <c r="W48" s="10">
        <v>830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 t="shared" si="97"/>
        <v>44681</v>
      </c>
      <c r="B49" s="9">
        <v>18480494.969999999</v>
      </c>
      <c r="C49" s="9">
        <v>16505808.890000001</v>
      </c>
      <c r="D49" s="9">
        <v>295038</v>
      </c>
      <c r="E49" s="9">
        <f t="shared" ref="E49" si="518">B49-C49-D49</f>
        <v>1679648.0799999982</v>
      </c>
      <c r="F49" s="9">
        <f>ROUND(E49*0.04,2)</f>
        <v>67185.919999999998</v>
      </c>
      <c r="G49" s="9">
        <f t="shared" ref="G49" si="519">ROUND(E49*0,2)</f>
        <v>0</v>
      </c>
      <c r="H49" s="9">
        <f t="shared" ref="H49" si="520">E49-F49-G49</f>
        <v>1612462.1599999983</v>
      </c>
      <c r="I49" s="9">
        <f t="shared" ref="I49" si="521">ROUND(H49*0,2)</f>
        <v>0</v>
      </c>
      <c r="J49" s="9">
        <f t="shared" ref="J49" si="522">ROUND((I49*0.58)+((I49*0.42)*0.1),2)</f>
        <v>0</v>
      </c>
      <c r="K49" s="9">
        <f t="shared" ref="K49" si="523">ROUND((I49*0.42)*0.9,2)</f>
        <v>0</v>
      </c>
      <c r="L49" s="66">
        <f t="shared" ref="L49" si="524">IF(J49+K49=I49,H49-I49,"ERROR")</f>
        <v>1612462.1599999983</v>
      </c>
      <c r="M49" s="9">
        <f t="shared" ref="M49" si="525">ROUND(L49*0.465,2)</f>
        <v>749794.9</v>
      </c>
      <c r="N49" s="9">
        <f>ROUND(L49*0.3,2)+0.01</f>
        <v>483738.66000000003</v>
      </c>
      <c r="O49" s="9">
        <f>ROUND(L49*0.1285,2)-0.01</f>
        <v>207201.38</v>
      </c>
      <c r="P49" s="9">
        <f t="shared" ref="P49" si="526">ROUND((L49*0.07)*0.9,2)</f>
        <v>101585.12</v>
      </c>
      <c r="Q49" s="9">
        <f>ROUND(L49*0.01,2)</f>
        <v>16124.62</v>
      </c>
      <c r="R49" s="9">
        <f t="shared" ref="R49" si="527">ROUND((L49*0.0075)*0.9,2)</f>
        <v>10884.12</v>
      </c>
      <c r="S49" s="9">
        <f t="shared" ref="S49" si="528">ROUND((L49*0.0075)*0.9,2)</f>
        <v>10884.12</v>
      </c>
      <c r="T49" s="9">
        <f>ROUND(L49*0.02,2)</f>
        <v>32249.24</v>
      </c>
      <c r="U49" s="9"/>
      <c r="V49" s="40">
        <f t="shared" ref="V49" si="529">E49/W49</f>
        <v>2023.6723855421665</v>
      </c>
      <c r="W49" s="10">
        <v>830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 t="shared" si="97"/>
        <v>44688</v>
      </c>
      <c r="B50" s="9">
        <v>19457694.77</v>
      </c>
      <c r="C50" s="9">
        <v>17234525.359999999</v>
      </c>
      <c r="D50" s="9">
        <v>312452</v>
      </c>
      <c r="E50" s="9">
        <f t="shared" ref="E50" si="530">B50-C50-D50</f>
        <v>1910717.4100000001</v>
      </c>
      <c r="F50" s="9">
        <f>ROUND(E50*0.04,2)</f>
        <v>76428.7</v>
      </c>
      <c r="G50" s="9">
        <f t="shared" ref="G50" si="531">ROUND(E50*0,2)</f>
        <v>0</v>
      </c>
      <c r="H50" s="9">
        <f t="shared" ref="H50" si="532">E50-F50-G50</f>
        <v>1834288.7100000002</v>
      </c>
      <c r="I50" s="9">
        <f t="shared" ref="I50" si="533">ROUND(H50*0,2)</f>
        <v>0</v>
      </c>
      <c r="J50" s="9">
        <f t="shared" ref="J50" si="534">ROUND((I50*0.58)+((I50*0.42)*0.1),2)</f>
        <v>0</v>
      </c>
      <c r="K50" s="9">
        <f t="shared" ref="K50" si="535">ROUND((I50*0.42)*0.9,2)</f>
        <v>0</v>
      </c>
      <c r="L50" s="66">
        <f t="shared" ref="L50" si="536">IF(J50+K50=I50,H50-I50,"ERROR")</f>
        <v>1834288.7100000002</v>
      </c>
      <c r="M50" s="9">
        <f t="shared" ref="M50" si="537">ROUND(L50*0.465,2)</f>
        <v>852944.25</v>
      </c>
      <c r="N50" s="9">
        <f>ROUND(L50*0.3,2)+0.04</f>
        <v>550286.65</v>
      </c>
      <c r="O50" s="9">
        <f>ROUND(L50*0.1285,2)-0.02</f>
        <v>235706.08000000002</v>
      </c>
      <c r="P50" s="9">
        <f t="shared" ref="P50" si="538">ROUND((L50*0.07)*0.9,2)</f>
        <v>115560.19</v>
      </c>
      <c r="Q50" s="9">
        <f>ROUND(L50*0.01,2)-0.01</f>
        <v>18342.88</v>
      </c>
      <c r="R50" s="9">
        <f t="shared" ref="R50" si="539">ROUND((L50*0.0075)*0.9,2)</f>
        <v>12381.45</v>
      </c>
      <c r="S50" s="9">
        <f t="shared" ref="S50" si="540">ROUND((L50*0.0075)*0.9,2)</f>
        <v>12381.45</v>
      </c>
      <c r="T50" s="9">
        <f>ROUND(L50*0.02,2)-0.01</f>
        <v>36685.759999999995</v>
      </c>
      <c r="U50" s="9"/>
      <c r="V50" s="40">
        <f t="shared" ref="V50" si="541">E50/W50</f>
        <v>2173.7399431171789</v>
      </c>
      <c r="W50" s="10">
        <v>879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 t="shared" si="97"/>
        <v>44695</v>
      </c>
      <c r="B51" s="9">
        <v>17493580.210000001</v>
      </c>
      <c r="C51" s="9">
        <v>15505545.079999998</v>
      </c>
      <c r="D51" s="9">
        <v>294057</v>
      </c>
      <c r="E51" s="9">
        <f t="shared" ref="E51" si="542">B51-C51-D51</f>
        <v>1693978.1300000027</v>
      </c>
      <c r="F51" s="9">
        <f>ROUND(E51*0.04,2)</f>
        <v>67759.13</v>
      </c>
      <c r="G51" s="9">
        <f t="shared" ref="G51" si="543">ROUND(E51*0,2)</f>
        <v>0</v>
      </c>
      <c r="H51" s="9">
        <f t="shared" ref="H51" si="544">E51-F51-G51</f>
        <v>1626219.0000000028</v>
      </c>
      <c r="I51" s="9">
        <f t="shared" ref="I51" si="545">ROUND(H51*0,2)</f>
        <v>0</v>
      </c>
      <c r="J51" s="9">
        <f t="shared" ref="J51" si="546">ROUND((I51*0.58)+((I51*0.42)*0.1),2)</f>
        <v>0</v>
      </c>
      <c r="K51" s="9">
        <f t="shared" ref="K51" si="547">ROUND((I51*0.42)*0.9,2)</f>
        <v>0</v>
      </c>
      <c r="L51" s="66">
        <f t="shared" ref="L51" si="548">IF(J51+K51=I51,H51-I51,"ERROR")</f>
        <v>1626219.0000000028</v>
      </c>
      <c r="M51" s="9">
        <f t="shared" ref="M51" si="549">ROUND(L51*0.465,2)</f>
        <v>756191.84</v>
      </c>
      <c r="N51" s="9">
        <f>ROUND(L51*0.3,2)-0.06</f>
        <v>487865.64</v>
      </c>
      <c r="O51" s="9">
        <f>ROUND(L51*0.1285,2)+0.02</f>
        <v>208969.16</v>
      </c>
      <c r="P51" s="9">
        <f t="shared" ref="P51" si="550">ROUND((L51*0.07)*0.9,2)</f>
        <v>102451.8</v>
      </c>
      <c r="Q51" s="9">
        <f>ROUND(L51*0.01,2)+0.01</f>
        <v>16262.2</v>
      </c>
      <c r="R51" s="9">
        <f t="shared" ref="R51" si="551">ROUND((L51*0.0075)*0.9,2)</f>
        <v>10976.98</v>
      </c>
      <c r="S51" s="9">
        <f t="shared" ref="S51" si="552">ROUND((L51*0.0075)*0.9,2)</f>
        <v>10976.98</v>
      </c>
      <c r="T51" s="9">
        <f>ROUND(L51*0.02,2)+0.02</f>
        <v>32524.400000000001</v>
      </c>
      <c r="U51" s="9"/>
      <c r="V51" s="40">
        <f t="shared" ref="V51" si="553">E51/W51</f>
        <v>1651.0508089668642</v>
      </c>
      <c r="W51" s="10">
        <v>1026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 t="shared" si="97"/>
        <v>44702</v>
      </c>
      <c r="B52" s="9">
        <v>17089950.759999998</v>
      </c>
      <c r="C52" s="9">
        <v>15201300.43</v>
      </c>
      <c r="D52" s="9">
        <v>283367</v>
      </c>
      <c r="E52" s="9">
        <f t="shared" ref="E52" si="554">B52-C52-D52</f>
        <v>1605283.3299999982</v>
      </c>
      <c r="F52" s="9">
        <f>ROUND(E52*0.04,2)+0.01</f>
        <v>64211.340000000004</v>
      </c>
      <c r="G52" s="9">
        <f t="shared" ref="G52" si="555">ROUND(E52*0,2)</f>
        <v>0</v>
      </c>
      <c r="H52" s="9">
        <f t="shared" ref="H52" si="556">E52-F52-G52</f>
        <v>1541071.9899999981</v>
      </c>
      <c r="I52" s="9">
        <f t="shared" ref="I52" si="557">ROUND(H52*0,2)</f>
        <v>0</v>
      </c>
      <c r="J52" s="9">
        <f t="shared" ref="J52" si="558">ROUND((I52*0.58)+((I52*0.42)*0.1),2)</f>
        <v>0</v>
      </c>
      <c r="K52" s="9">
        <f t="shared" ref="K52" si="559">ROUND((I52*0.42)*0.9,2)</f>
        <v>0</v>
      </c>
      <c r="L52" s="66">
        <f t="shared" ref="L52" si="560">IF(J52+K52=I52,H52-I52,"ERROR")</f>
        <v>1541071.9899999981</v>
      </c>
      <c r="M52" s="9">
        <f t="shared" ref="M52" si="561">ROUND(L52*0.465,2)</f>
        <v>716598.48</v>
      </c>
      <c r="N52" s="9">
        <f>ROUND(L52*0.3,2)-0.01</f>
        <v>462321.58999999997</v>
      </c>
      <c r="O52" s="9">
        <f>ROUND(L52*0.1285,2)-0.01</f>
        <v>198027.74</v>
      </c>
      <c r="P52" s="9">
        <f t="shared" ref="P52" si="562">ROUND((L52*0.07)*0.9,2)</f>
        <v>97087.54</v>
      </c>
      <c r="Q52" s="9">
        <f>ROUND(L52*0.01,2)</f>
        <v>15410.72</v>
      </c>
      <c r="R52" s="9">
        <f t="shared" ref="R52" si="563">ROUND((L52*0.0075)*0.9,2)</f>
        <v>10402.24</v>
      </c>
      <c r="S52" s="9">
        <f t="shared" ref="S52" si="564">ROUND((L52*0.0075)*0.9,2)</f>
        <v>10402.24</v>
      </c>
      <c r="T52" s="9">
        <f>ROUND(L52*0.02,2)</f>
        <v>30821.439999999999</v>
      </c>
      <c r="U52" s="9"/>
      <c r="V52" s="40">
        <f t="shared" ref="V52" si="565">E52/W52</f>
        <v>1572.2657492654243</v>
      </c>
      <c r="W52" s="10">
        <v>1021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 t="shared" si="97"/>
        <v>44709</v>
      </c>
      <c r="B53" s="9">
        <v>18219428.600000001</v>
      </c>
      <c r="C53" s="9">
        <v>16136756.690000001</v>
      </c>
      <c r="D53" s="9">
        <v>271314</v>
      </c>
      <c r="E53" s="9">
        <f t="shared" ref="E53" si="566">B53-C53-D53</f>
        <v>1811357.9100000001</v>
      </c>
      <c r="F53" s="9">
        <f>ROUND(E53*0.04,2)-0.01</f>
        <v>72454.310000000012</v>
      </c>
      <c r="G53" s="9">
        <f t="shared" ref="G53" si="567">ROUND(E53*0,2)</f>
        <v>0</v>
      </c>
      <c r="H53" s="9">
        <f t="shared" ref="H53" si="568">E53-F53-G53</f>
        <v>1738903.6</v>
      </c>
      <c r="I53" s="9">
        <f t="shared" ref="I53" si="569">ROUND(H53*0,2)</f>
        <v>0</v>
      </c>
      <c r="J53" s="9">
        <f t="shared" ref="J53" si="570">ROUND((I53*0.58)+((I53*0.42)*0.1),2)</f>
        <v>0</v>
      </c>
      <c r="K53" s="9">
        <f t="shared" ref="K53" si="571">ROUND((I53*0.42)*0.9,2)</f>
        <v>0</v>
      </c>
      <c r="L53" s="66">
        <f t="shared" ref="L53" si="572">IF(J53+K53=I53,H53-I53,"ERROR")</f>
        <v>1738903.6</v>
      </c>
      <c r="M53" s="9">
        <f t="shared" ref="M53" si="573">ROUND(L53*0.465,2)</f>
        <v>808590.17</v>
      </c>
      <c r="N53" s="9">
        <f>ROUND(L53*0.3,2)-0.01</f>
        <v>521671.07</v>
      </c>
      <c r="O53" s="9">
        <f>ROUND(L53*0.1285,2)</f>
        <v>223449.11</v>
      </c>
      <c r="P53" s="9">
        <f t="shared" ref="P53" si="574">ROUND((L53*0.07)*0.9,2)</f>
        <v>109550.93</v>
      </c>
      <c r="Q53" s="9">
        <f>ROUND(L53*0.01,2)</f>
        <v>17389.04</v>
      </c>
      <c r="R53" s="9">
        <f t="shared" ref="R53" si="575">ROUND((L53*0.0075)*0.9,2)</f>
        <v>11737.6</v>
      </c>
      <c r="S53" s="9">
        <f t="shared" ref="S53" si="576">ROUND((L53*0.0075)*0.9,2)</f>
        <v>11737.6</v>
      </c>
      <c r="T53" s="9">
        <f>ROUND(L53*0.02,2)+0.01</f>
        <v>34778.080000000002</v>
      </c>
      <c r="U53" s="9"/>
      <c r="V53" s="40">
        <f t="shared" ref="V53" si="577">E53/W53</f>
        <v>1770.6333431085045</v>
      </c>
      <c r="W53" s="10">
        <v>1023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 t="shared" si="97"/>
        <v>44716</v>
      </c>
      <c r="B54" s="9">
        <v>19421339.82</v>
      </c>
      <c r="C54" s="9">
        <v>17264101.100000001</v>
      </c>
      <c r="D54" s="9">
        <v>326553</v>
      </c>
      <c r="E54" s="9">
        <f t="shared" ref="E54" si="578">B54-C54-D54</f>
        <v>1830685.7199999988</v>
      </c>
      <c r="F54" s="9">
        <f>ROUND(E54*0.04,2)-0.01</f>
        <v>73227.42</v>
      </c>
      <c r="G54" s="9">
        <f t="shared" ref="G54" si="579">ROUND(E54*0,2)</f>
        <v>0</v>
      </c>
      <c r="H54" s="9">
        <f t="shared" ref="H54" si="580">E54-F54-G54</f>
        <v>1757458.2999999989</v>
      </c>
      <c r="I54" s="9">
        <f t="shared" ref="I54" si="581">ROUND(H54*0,2)</f>
        <v>0</v>
      </c>
      <c r="J54" s="9">
        <f t="shared" ref="J54" si="582">ROUND((I54*0.58)+((I54*0.42)*0.1),2)</f>
        <v>0</v>
      </c>
      <c r="K54" s="9">
        <f t="shared" ref="K54" si="583">ROUND((I54*0.42)*0.9,2)</f>
        <v>0</v>
      </c>
      <c r="L54" s="66">
        <f t="shared" ref="L54" si="584">IF(J54+K54=I54,H54-I54,"ERROR")</f>
        <v>1757458.2999999989</v>
      </c>
      <c r="M54" s="9">
        <f t="shared" ref="M54" si="585">ROUND(L54*0.465,2)</f>
        <v>817218.11</v>
      </c>
      <c r="N54" s="9">
        <f>ROUND(L54*0.3,2)+0.01</f>
        <v>527237.5</v>
      </c>
      <c r="O54" s="9">
        <f>ROUND(L54*0.1285,2)+0.01</f>
        <v>225833.40000000002</v>
      </c>
      <c r="P54" s="9">
        <f t="shared" ref="P54" si="586">ROUND((L54*0.07)*0.9,2)</f>
        <v>110719.87</v>
      </c>
      <c r="Q54" s="9">
        <f>ROUND(L54*0.01,2)</f>
        <v>17574.580000000002</v>
      </c>
      <c r="R54" s="9">
        <f t="shared" ref="R54" si="587">ROUND((L54*0.0075)*0.9,2)</f>
        <v>11862.84</v>
      </c>
      <c r="S54" s="9">
        <f t="shared" ref="S54" si="588">ROUND((L54*0.0075)*0.9,2)</f>
        <v>11862.84</v>
      </c>
      <c r="T54" s="9">
        <f>ROUND(L54*0.02,2)-0.01</f>
        <v>35149.159999999996</v>
      </c>
      <c r="U54" s="9"/>
      <c r="V54" s="40">
        <f t="shared" ref="V54" si="589">E54/W54</f>
        <v>1787.7790234374988</v>
      </c>
      <c r="W54" s="10">
        <v>1024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 t="shared" si="97"/>
        <v>44723</v>
      </c>
      <c r="B55" s="9">
        <v>16852406.050000001</v>
      </c>
      <c r="C55" s="9">
        <v>14940597.91</v>
      </c>
      <c r="D55" s="9">
        <v>290107</v>
      </c>
      <c r="E55" s="9">
        <f t="shared" ref="E55" si="590">B55-C55-D55</f>
        <v>1621701.1400000006</v>
      </c>
      <c r="F55" s="9">
        <f>ROUND(E55*0.04,2)</f>
        <v>64868.05</v>
      </c>
      <c r="G55" s="9">
        <f t="shared" ref="G55" si="591">ROUND(E55*0,2)</f>
        <v>0</v>
      </c>
      <c r="H55" s="9">
        <f t="shared" ref="H55" si="592">E55-F55-G55</f>
        <v>1556833.0900000005</v>
      </c>
      <c r="I55" s="9">
        <f t="shared" ref="I55" si="593">ROUND(H55*0,2)</f>
        <v>0</v>
      </c>
      <c r="J55" s="9">
        <f t="shared" ref="J55" si="594">ROUND((I55*0.58)+((I55*0.42)*0.1),2)</f>
        <v>0</v>
      </c>
      <c r="K55" s="9">
        <f t="shared" ref="K55" si="595">ROUND((I55*0.42)*0.9,2)</f>
        <v>0</v>
      </c>
      <c r="L55" s="66">
        <f t="shared" ref="L55" si="596">IF(J55+K55=I55,H55-I55,"ERROR")</f>
        <v>1556833.0900000005</v>
      </c>
      <c r="M55" s="9">
        <f t="shared" ref="M55" si="597">ROUND(L55*0.465,2)</f>
        <v>723927.39</v>
      </c>
      <c r="N55" s="9">
        <f>ROUND(L55*0.3,2)-0.06</f>
        <v>467049.87</v>
      </c>
      <c r="O55" s="9">
        <f>ROUND(L55*0.1285,2)+0.04</f>
        <v>200053.09</v>
      </c>
      <c r="P55" s="9">
        <f t="shared" ref="P55" si="598">ROUND((L55*0.07)*0.9,2)</f>
        <v>98080.48</v>
      </c>
      <c r="Q55" s="9">
        <f>ROUND(L55*0.01,2)+0.01</f>
        <v>15568.34</v>
      </c>
      <c r="R55" s="9">
        <f t="shared" ref="R55" si="599">ROUND((L55*0.0075)*0.9,2)</f>
        <v>10508.62</v>
      </c>
      <c r="S55" s="9">
        <f t="shared" ref="S55" si="600">ROUND((L55*0.0075)*0.9,2)</f>
        <v>10508.62</v>
      </c>
      <c r="T55" s="9">
        <f>ROUND(L55*0.02,2)+0.02</f>
        <v>31136.68</v>
      </c>
      <c r="U55" s="9"/>
      <c r="V55" s="40">
        <f t="shared" ref="V55" si="601">E55/W55</f>
        <v>1575.9972206025272</v>
      </c>
      <c r="W55" s="10">
        <v>1029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 t="shared" si="97"/>
        <v>44730</v>
      </c>
      <c r="B56" s="9">
        <v>17202923.880000003</v>
      </c>
      <c r="C56" s="9">
        <v>15265727.949999999</v>
      </c>
      <c r="D56" s="9">
        <v>298706</v>
      </c>
      <c r="E56" s="9">
        <f t="shared" ref="E56" si="602">B56-C56-D56</f>
        <v>1638489.9300000034</v>
      </c>
      <c r="F56" s="9">
        <f>ROUND(E56*0.04,2)</f>
        <v>65539.600000000006</v>
      </c>
      <c r="G56" s="9">
        <f t="shared" ref="G56" si="603">ROUND(E56*0,2)</f>
        <v>0</v>
      </c>
      <c r="H56" s="9">
        <f t="shared" ref="H56" si="604">E56-F56-G56</f>
        <v>1572950.3300000033</v>
      </c>
      <c r="I56" s="9">
        <f t="shared" ref="I56" si="605">ROUND(H56*0,2)</f>
        <v>0</v>
      </c>
      <c r="J56" s="9">
        <f t="shared" ref="J56" si="606">ROUND((I56*0.58)+((I56*0.42)*0.1),2)</f>
        <v>0</v>
      </c>
      <c r="K56" s="9">
        <f t="shared" ref="K56" si="607">ROUND((I56*0.42)*0.9,2)</f>
        <v>0</v>
      </c>
      <c r="L56" s="66">
        <f t="shared" ref="L56" si="608">IF(J56+K56=I56,H56-I56,"ERROR")</f>
        <v>1572950.3300000033</v>
      </c>
      <c r="M56" s="9">
        <f t="shared" ref="M56" si="609">ROUND(L56*0.465,2)</f>
        <v>731421.9</v>
      </c>
      <c r="N56" s="9">
        <f>ROUND(L56*0.3,2)+0.03</f>
        <v>471885.13</v>
      </c>
      <c r="O56" s="9">
        <f>ROUND(L56*0.1285,2)-0.01</f>
        <v>202124.11</v>
      </c>
      <c r="P56" s="9">
        <f t="shared" ref="P56" si="610">ROUND((L56*0.07)*0.9,2)</f>
        <v>99095.87</v>
      </c>
      <c r="Q56" s="9">
        <f>ROUND(L56*0.01,2)</f>
        <v>15729.5</v>
      </c>
      <c r="R56" s="9">
        <f t="shared" ref="R56" si="611">ROUND((L56*0.0075)*0.9,2)</f>
        <v>10617.41</v>
      </c>
      <c r="S56" s="9">
        <f t="shared" ref="S56" si="612">ROUND((L56*0.0075)*0.9,2)</f>
        <v>10617.41</v>
      </c>
      <c r="T56" s="9">
        <f>ROUND(L56*0.02,2)-0.01</f>
        <v>31459</v>
      </c>
      <c r="U56" s="9"/>
      <c r="V56" s="40">
        <f t="shared" ref="V56" si="613">E56/W56</f>
        <v>1592.3128571428604</v>
      </c>
      <c r="W56" s="10">
        <v>1029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 t="shared" si="97"/>
        <v>44737</v>
      </c>
      <c r="B57" s="9">
        <v>17667215.98</v>
      </c>
      <c r="C57" s="9">
        <v>15842370.919999998</v>
      </c>
      <c r="D57" s="9">
        <v>297181</v>
      </c>
      <c r="E57" s="9">
        <f t="shared" ref="E57" si="614">B57-C57-D57</f>
        <v>1527664.0600000024</v>
      </c>
      <c r="F57" s="9">
        <f>ROUND(E57*0.04,2)+0.01</f>
        <v>61106.57</v>
      </c>
      <c r="G57" s="9">
        <f t="shared" ref="G57" si="615">ROUND(E57*0,2)</f>
        <v>0</v>
      </c>
      <c r="H57" s="9">
        <f t="shared" ref="H57" si="616">E57-F57-G57</f>
        <v>1466557.4900000023</v>
      </c>
      <c r="I57" s="9">
        <f t="shared" ref="I57" si="617">ROUND(H57*0,2)</f>
        <v>0</v>
      </c>
      <c r="J57" s="9">
        <f t="shared" ref="J57" si="618">ROUND((I57*0.58)+((I57*0.42)*0.1),2)</f>
        <v>0</v>
      </c>
      <c r="K57" s="9">
        <f t="shared" ref="K57" si="619">ROUND((I57*0.42)*0.9,2)</f>
        <v>0</v>
      </c>
      <c r="L57" s="66">
        <f t="shared" ref="L57" si="620">IF(J57+K57=I57,H57-I57,"ERROR")</f>
        <v>1466557.4900000023</v>
      </c>
      <c r="M57" s="9">
        <f t="shared" ref="M57" si="621">ROUND(L57*0.465,2)</f>
        <v>681949.23</v>
      </c>
      <c r="N57" s="9">
        <f>ROUND(L57*0.3,2)-0.02</f>
        <v>439967.23</v>
      </c>
      <c r="O57" s="9">
        <f>ROUND(L57*0.1285,2)+0.01</f>
        <v>188452.65000000002</v>
      </c>
      <c r="P57" s="9">
        <f t="shared" ref="P57" si="622">ROUND((L57*0.07)*0.9,2)</f>
        <v>92393.12</v>
      </c>
      <c r="Q57" s="9">
        <f>ROUND(L57*0.01,2)+0.01</f>
        <v>14665.58</v>
      </c>
      <c r="R57" s="9">
        <f t="shared" ref="R57" si="623">ROUND((L57*0.0075)*0.9,2)</f>
        <v>9899.26</v>
      </c>
      <c r="S57" s="9">
        <f t="shared" ref="S57" si="624">ROUND((L57*0.0075)*0.9,2)</f>
        <v>9899.26</v>
      </c>
      <c r="T57" s="9">
        <f>ROUND(L57*0.02,2)+0.01</f>
        <v>29331.16</v>
      </c>
      <c r="U57" s="9"/>
      <c r="V57" s="40">
        <f t="shared" ref="V57" si="625">E57/W57</f>
        <v>1484.6103595724028</v>
      </c>
      <c r="W57" s="10">
        <v>1029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 t="s">
        <v>54</v>
      </c>
      <c r="B58" s="9">
        <v>8667765.379999999</v>
      </c>
      <c r="C58" s="9">
        <v>7712461.8100000005</v>
      </c>
      <c r="D58" s="9">
        <v>133471</v>
      </c>
      <c r="E58" s="9">
        <f t="shared" ref="E58" si="626">B58-C58-D58</f>
        <v>821832.56999999844</v>
      </c>
      <c r="F58" s="9">
        <f>ROUND(E58*0.04,2)+0.01</f>
        <v>32873.310000000005</v>
      </c>
      <c r="G58" s="9">
        <f t="shared" ref="G58" si="627">ROUND(E58*0,2)</f>
        <v>0</v>
      </c>
      <c r="H58" s="9">
        <f t="shared" ref="H58" si="628">E58-F58-G58</f>
        <v>788959.25999999838</v>
      </c>
      <c r="I58" s="9">
        <f t="shared" ref="I58" si="629">ROUND(H58*0,2)</f>
        <v>0</v>
      </c>
      <c r="J58" s="9">
        <f t="shared" ref="J58" si="630">ROUND((I58*0.58)+((I58*0.42)*0.1),2)</f>
        <v>0</v>
      </c>
      <c r="K58" s="9">
        <f t="shared" ref="K58" si="631">ROUND((I58*0.42)*0.9,2)</f>
        <v>0</v>
      </c>
      <c r="L58" s="66">
        <f t="shared" ref="L58" si="632">IF(J58+K58=I58,H58-I58,"ERROR")</f>
        <v>788959.25999999838</v>
      </c>
      <c r="M58" s="9">
        <f t="shared" ref="M58" si="633">ROUND(L58*0.465,2)</f>
        <v>366866.06</v>
      </c>
      <c r="N58" s="9">
        <f>ROUND(L58*0.3,2)-0.04</f>
        <v>236687.74</v>
      </c>
      <c r="O58" s="9">
        <f>ROUND(L58*0.1285,2)+0.01</f>
        <v>101381.26999999999</v>
      </c>
      <c r="P58" s="9">
        <f t="shared" ref="P58" si="634">ROUND((L58*0.07)*0.9,2)</f>
        <v>49704.43</v>
      </c>
      <c r="Q58" s="9">
        <f>ROUND(L58*0.01,2)+0.01</f>
        <v>7889.6</v>
      </c>
      <c r="R58" s="9">
        <f t="shared" ref="R58" si="635">ROUND((L58*0.0075)*0.9,2)</f>
        <v>5325.48</v>
      </c>
      <c r="S58" s="9">
        <f t="shared" ref="S58" si="636">ROUND((L58*0.0075)*0.9,2)</f>
        <v>5325.48</v>
      </c>
      <c r="T58" s="9">
        <f>ROUND(L58*0.02,2)+0.01</f>
        <v>15779.2</v>
      </c>
      <c r="U58" s="9"/>
      <c r="V58" s="40">
        <f t="shared" ref="V58" si="637">E58/W58</f>
        <v>821.83256999999844</v>
      </c>
      <c r="W58" s="10">
        <v>1000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B59" s="11"/>
      <c r="V59" s="13"/>
    </row>
    <row r="60" spans="1:96" ht="15" customHeight="1" thickBot="1" x14ac:dyDescent="0.3">
      <c r="B60" s="14">
        <f t="shared" ref="B60:T60" si="638">SUM(B6:B59)</f>
        <v>921241505.62</v>
      </c>
      <c r="C60" s="14">
        <f t="shared" si="638"/>
        <v>820073653.45999992</v>
      </c>
      <c r="D60" s="14">
        <f t="shared" si="638"/>
        <v>14703193.75</v>
      </c>
      <c r="E60" s="14">
        <f t="shared" si="638"/>
        <v>86464658.409999996</v>
      </c>
      <c r="F60" s="14">
        <f t="shared" si="638"/>
        <v>3458586.43</v>
      </c>
      <c r="G60" s="14">
        <f t="shared" si="638"/>
        <v>0</v>
      </c>
      <c r="H60" s="14">
        <f t="shared" si="638"/>
        <v>83006071.979999989</v>
      </c>
      <c r="I60" s="14">
        <f t="shared" si="638"/>
        <v>0</v>
      </c>
      <c r="J60" s="14">
        <f t="shared" si="638"/>
        <v>0</v>
      </c>
      <c r="K60" s="14">
        <f t="shared" si="638"/>
        <v>0</v>
      </c>
      <c r="L60" s="14">
        <f t="shared" si="638"/>
        <v>83006071.979999989</v>
      </c>
      <c r="M60" s="14">
        <f t="shared" si="638"/>
        <v>38597823.460000001</v>
      </c>
      <c r="N60" s="14">
        <f t="shared" si="638"/>
        <v>24901821.949999996</v>
      </c>
      <c r="O60" s="14">
        <f t="shared" si="638"/>
        <v>10666280.070000002</v>
      </c>
      <c r="P60" s="14">
        <f t="shared" si="638"/>
        <v>5229382.54</v>
      </c>
      <c r="Q60" s="14">
        <f t="shared" si="638"/>
        <v>830060.65999999992</v>
      </c>
      <c r="R60" s="14">
        <f t="shared" si="638"/>
        <v>560290.99</v>
      </c>
      <c r="S60" s="14">
        <f t="shared" si="638"/>
        <v>560290.99</v>
      </c>
      <c r="T60" s="14">
        <f t="shared" si="638"/>
        <v>1660121.3199999998</v>
      </c>
      <c r="U60" s="14"/>
      <c r="V60" s="15">
        <f>AVERAGE(V6:V59)</f>
        <v>1551.2486641260623</v>
      </c>
      <c r="W60" s="16">
        <f>AVERAGE(W6:W59)</f>
        <v>1058.4905660377358</v>
      </c>
    </row>
    <row r="61" spans="1:96" ht="15" customHeight="1" thickTop="1" x14ac:dyDescent="0.25"/>
    <row r="62" spans="1:96" ht="15" customHeight="1" x14ac:dyDescent="0.25">
      <c r="A62" s="1" t="s">
        <v>49</v>
      </c>
    </row>
    <row r="63" spans="1:96" ht="15" customHeight="1" x14ac:dyDescent="0.25">
      <c r="A63" s="1" t="s">
        <v>16</v>
      </c>
    </row>
    <row r="64" spans="1:96" ht="15" customHeight="1" x14ac:dyDescent="0.25">
      <c r="A64" s="1" t="s">
        <v>55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&amp;CMOUNTAINEER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zoomScaleNormal="100" workbookViewId="0">
      <pane ySplit="3" topLeftCell="A28" activePane="bottomLeft" state="frozen"/>
      <selection pane="bottomLeft" activeCell="A60" sqref="A60"/>
    </sheetView>
  </sheetViews>
  <sheetFormatPr defaultRowHeight="15" customHeight="1" x14ac:dyDescent="0.25"/>
  <cols>
    <col min="1" max="1" width="13.7109375" style="2" customWidth="1"/>
    <col min="2" max="2" width="16.85546875" style="2" customWidth="1"/>
    <col min="3" max="3" width="17.42578125" style="2" bestFit="1" customWidth="1"/>
    <col min="4" max="4" width="15.140625" style="2" customWidth="1"/>
    <col min="5" max="5" width="17.140625" style="2" customWidth="1"/>
    <col min="6" max="6" width="14.7109375" style="2" bestFit="1" customWidth="1"/>
    <col min="7" max="7" width="13.7109375" style="2" bestFit="1" customWidth="1"/>
    <col min="8" max="8" width="17.5703125" style="2" customWidth="1"/>
    <col min="9" max="9" width="11.7109375" style="2" hidden="1" customWidth="1"/>
    <col min="10" max="11" width="12.7109375" style="2" customWidth="1"/>
    <col min="12" max="12" width="16.5703125" style="2" customWidth="1"/>
    <col min="13" max="13" width="15.85546875" style="2" customWidth="1"/>
    <col min="14" max="14" width="16.140625" style="2" customWidth="1"/>
    <col min="15" max="16" width="14.7109375" style="2" bestFit="1" customWidth="1"/>
    <col min="17" max="19" width="13.7109375" style="2" customWidth="1"/>
    <col min="20" max="20" width="16.42578125" style="2" customWidth="1"/>
    <col min="21" max="23" width="13.7109375" style="2" customWidth="1"/>
    <col min="24" max="16384" width="9.140625" style="2"/>
  </cols>
  <sheetData>
    <row r="1" spans="1:96" s="3" customFormat="1" ht="45" x14ac:dyDescent="0.25">
      <c r="A1" s="3" t="s">
        <v>14</v>
      </c>
      <c r="B1" s="3" t="s">
        <v>18</v>
      </c>
      <c r="C1" s="3" t="s">
        <v>19</v>
      </c>
      <c r="D1" s="3" t="s">
        <v>21</v>
      </c>
      <c r="E1" s="3" t="s">
        <v>22</v>
      </c>
      <c r="F1" s="3" t="s">
        <v>20</v>
      </c>
      <c r="G1" s="3" t="s">
        <v>23</v>
      </c>
      <c r="H1" s="3" t="s">
        <v>24</v>
      </c>
      <c r="I1" s="3" t="s">
        <v>15</v>
      </c>
      <c r="J1" s="3" t="s">
        <v>25</v>
      </c>
      <c r="K1" s="3" t="s">
        <v>26</v>
      </c>
      <c r="L1" s="3" t="s">
        <v>27</v>
      </c>
      <c r="M1" s="3" t="s">
        <v>12</v>
      </c>
      <c r="N1" s="3" t="s">
        <v>28</v>
      </c>
      <c r="O1" s="3" t="s">
        <v>23</v>
      </c>
      <c r="P1" s="3" t="s">
        <v>29</v>
      </c>
      <c r="Q1" s="3" t="s">
        <v>30</v>
      </c>
      <c r="R1" s="3" t="s">
        <v>31</v>
      </c>
      <c r="S1" s="3" t="s">
        <v>32</v>
      </c>
      <c r="T1" s="3" t="s">
        <v>38</v>
      </c>
      <c r="U1" s="3" t="s">
        <v>37</v>
      </c>
      <c r="V1" s="3" t="s">
        <v>33</v>
      </c>
      <c r="W1" s="3" t="s">
        <v>36</v>
      </c>
    </row>
    <row r="2" spans="1:96" s="4" customFormat="1" ht="15" customHeight="1" x14ac:dyDescent="0.25">
      <c r="A2" s="4" t="s">
        <v>46</v>
      </c>
      <c r="B2" s="5">
        <v>780877301.2900002</v>
      </c>
      <c r="C2" s="5">
        <v>700407757.9000001</v>
      </c>
      <c r="D2" s="5">
        <v>9894761.2000000011</v>
      </c>
      <c r="E2" s="5">
        <v>70574782.189999998</v>
      </c>
      <c r="F2" s="5">
        <v>2822991.2900000005</v>
      </c>
      <c r="G2" s="5">
        <v>0</v>
      </c>
      <c r="H2" s="5">
        <v>67751790.900000006</v>
      </c>
      <c r="I2" s="5">
        <v>0</v>
      </c>
      <c r="J2" s="5">
        <v>0</v>
      </c>
      <c r="K2" s="5">
        <v>0</v>
      </c>
      <c r="L2" s="5">
        <v>67751790.900000006</v>
      </c>
      <c r="M2" s="5">
        <v>31504582.759999998</v>
      </c>
      <c r="N2" s="5">
        <v>20325537.200000003</v>
      </c>
      <c r="O2" s="5">
        <v>8706105.1300000027</v>
      </c>
      <c r="P2" s="5">
        <v>4268362.82</v>
      </c>
      <c r="Q2" s="5">
        <v>677517.92999999993</v>
      </c>
      <c r="R2" s="5">
        <v>457324.60000000009</v>
      </c>
      <c r="S2" s="5">
        <v>457324.60000000009</v>
      </c>
      <c r="T2" s="5">
        <v>1062174.865</v>
      </c>
      <c r="U2" s="9">
        <v>292860.98499999999</v>
      </c>
      <c r="V2" s="9">
        <v>1894.51</v>
      </c>
      <c r="W2" s="10">
        <v>707</v>
      </c>
    </row>
    <row r="3" spans="1:96" s="4" customFormat="1" ht="15" customHeight="1" x14ac:dyDescent="0.25"/>
    <row r="4" spans="1:96" s="4" customFormat="1" ht="15" customHeight="1" x14ac:dyDescent="0.25">
      <c r="A4" s="72" t="s">
        <v>47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</row>
    <row r="5" spans="1:96" s="42" customFormat="1" ht="15" customHeight="1" x14ac:dyDescent="0.25"/>
    <row r="6" spans="1:96" ht="15" customHeight="1" x14ac:dyDescent="0.25">
      <c r="A6" s="8" t="str">
        <f>Mountaineer!A6</f>
        <v>7/3/2021 *</v>
      </c>
      <c r="B6" s="9">
        <v>10004716.98</v>
      </c>
      <c r="C6" s="9">
        <v>8942860.5899999999</v>
      </c>
      <c r="D6" s="9">
        <v>133229</v>
      </c>
      <c r="E6" s="9">
        <f t="shared" ref="E6" si="0">B6-C6-D6</f>
        <v>928627.3900000006</v>
      </c>
      <c r="F6" s="9">
        <f>ROUND(E6*0.04,2)</f>
        <v>37145.1</v>
      </c>
      <c r="G6" s="9">
        <f t="shared" ref="G6" si="1">ROUND(E6*0,2)</f>
        <v>0</v>
      </c>
      <c r="H6" s="9">
        <f t="shared" ref="H6" si="2">E6-F6-G6</f>
        <v>891482.29000000062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9">
        <f t="shared" ref="L6" si="6">IF(J6+K6=I6,H6-I6,"ERROR")</f>
        <v>891482.29000000062</v>
      </c>
      <c r="M6" s="9">
        <f t="shared" ref="M6" si="7">ROUND(L6*0.465,2)</f>
        <v>414539.26</v>
      </c>
      <c r="N6" s="9">
        <f>ROUND(L6*0.3,2)+0.01</f>
        <v>267444.7</v>
      </c>
      <c r="O6" s="9">
        <f>ROUND(L6*0.1285,2)</f>
        <v>114555.47</v>
      </c>
      <c r="P6" s="9">
        <f t="shared" ref="P6" si="8">ROUND((L6*0.07)*0.9,2)</f>
        <v>56163.38</v>
      </c>
      <c r="Q6" s="9">
        <f>ROUND(L6*0.01,2)</f>
        <v>8914.82</v>
      </c>
      <c r="R6" s="9">
        <f t="shared" ref="R6" si="9">ROUND((L6*0.0075)*0.9,2)</f>
        <v>6017.51</v>
      </c>
      <c r="S6" s="9">
        <f t="shared" ref="S6" si="10">ROUND((L6*0.0075)*0.9,2)</f>
        <v>6017.51</v>
      </c>
      <c r="T6" s="9">
        <f>ROUND(L6*0.02,2)-0.01</f>
        <v>17829.640000000003</v>
      </c>
      <c r="U6" s="9">
        <f t="shared" ref="U6" si="11">ROUND(L6*0,2)</f>
        <v>0</v>
      </c>
      <c r="V6" s="40">
        <f t="shared" ref="V6" si="12">E6/W6</f>
        <v>949.5167586912072</v>
      </c>
      <c r="W6" s="10">
        <v>978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f>Mountaineer!A7</f>
        <v>44387</v>
      </c>
      <c r="B7" s="9">
        <v>18477878</v>
      </c>
      <c r="C7" s="9">
        <v>16620044.629999999</v>
      </c>
      <c r="D7" s="9">
        <v>248912</v>
      </c>
      <c r="E7" s="9">
        <f t="shared" ref="E7" si="13">B7-C7-D7</f>
        <v>1608921.370000001</v>
      </c>
      <c r="F7" s="9">
        <f>ROUND(E7*0.04,2)-0.01</f>
        <v>64356.84</v>
      </c>
      <c r="G7" s="9">
        <f t="shared" ref="G7" si="14">ROUND(E7*0,2)</f>
        <v>0</v>
      </c>
      <c r="H7" s="9">
        <f t="shared" ref="H7" si="15">E7-F7-G7</f>
        <v>1544564.530000001</v>
      </c>
      <c r="I7" s="9">
        <f t="shared" ref="I7" si="16">ROUND(H7*0,2)</f>
        <v>0</v>
      </c>
      <c r="J7" s="9">
        <f t="shared" ref="J7" si="17">ROUND((I7*0.58)+((I7*0.42)*0.1),2)</f>
        <v>0</v>
      </c>
      <c r="K7" s="9">
        <f t="shared" ref="K7" si="18">ROUND((I7*0.42)*0.9,2)</f>
        <v>0</v>
      </c>
      <c r="L7" s="9">
        <f t="shared" ref="L7" si="19">IF(J7+K7=I7,H7-I7,"ERROR")</f>
        <v>1544564.530000001</v>
      </c>
      <c r="M7" s="9">
        <f t="shared" ref="M7" si="20">ROUND(L7*0.465,2)</f>
        <v>718222.51</v>
      </c>
      <c r="N7" s="9">
        <f>ROUND(L7*0.3,2)+0.03</f>
        <v>463369.39</v>
      </c>
      <c r="O7" s="9">
        <f>ROUND(L7*0.1285,2)-0.02</f>
        <v>198476.52000000002</v>
      </c>
      <c r="P7" s="9">
        <f t="shared" ref="P7" si="21">ROUND((L7*0.07)*0.9,2)</f>
        <v>97307.57</v>
      </c>
      <c r="Q7" s="9">
        <f>ROUND(L7*0.01,2)-0.01</f>
        <v>15445.64</v>
      </c>
      <c r="R7" s="9">
        <f t="shared" ref="R7" si="22">ROUND((L7*0.0075)*0.9,2)</f>
        <v>10425.81</v>
      </c>
      <c r="S7" s="9">
        <f t="shared" ref="S7" si="23">ROUND((L7*0.0075)*0.9,2)</f>
        <v>10425.81</v>
      </c>
      <c r="T7" s="9">
        <f>ROUND(L7*0.02,2)-0.01</f>
        <v>30891.280000000002</v>
      </c>
      <c r="U7" s="9">
        <f t="shared" ref="U7" si="24">ROUND(L7*0,2)</f>
        <v>0</v>
      </c>
      <c r="V7" s="40">
        <f t="shared" ref="V7" si="25">E7/W7</f>
        <v>1662.1088533057862</v>
      </c>
      <c r="W7" s="10">
        <v>968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44394</v>
      </c>
      <c r="B8" s="9">
        <v>17958011.189999998</v>
      </c>
      <c r="C8" s="9">
        <v>16132370.33</v>
      </c>
      <c r="D8" s="9">
        <v>236776</v>
      </c>
      <c r="E8" s="9">
        <f t="shared" ref="E8" si="26">B8-C8-D8</f>
        <v>1588864.8599999975</v>
      </c>
      <c r="F8" s="9">
        <f>ROUND(E8*0.04,2)</f>
        <v>63554.59</v>
      </c>
      <c r="G8" s="9">
        <f t="shared" ref="G8" si="27">ROUND(E8*0,2)</f>
        <v>0</v>
      </c>
      <c r="H8" s="9">
        <f t="shared" ref="H8" si="28">E8-F8-G8</f>
        <v>1525310.2699999975</v>
      </c>
      <c r="I8" s="9">
        <f t="shared" ref="I8" si="29">ROUND(H8*0,2)</f>
        <v>0</v>
      </c>
      <c r="J8" s="9">
        <f t="shared" ref="J8" si="30">ROUND((I8*0.58)+((I8*0.42)*0.1),2)</f>
        <v>0</v>
      </c>
      <c r="K8" s="9">
        <f t="shared" ref="K8" si="31">ROUND((I8*0.42)*0.9,2)</f>
        <v>0</v>
      </c>
      <c r="L8" s="9">
        <f t="shared" ref="L8" si="32">IF(J8+K8=I8,H8-I8,"ERROR")</f>
        <v>1525310.2699999975</v>
      </c>
      <c r="M8" s="9">
        <f t="shared" ref="M8" si="33">ROUND(L8*0.465,2)</f>
        <v>709269.28</v>
      </c>
      <c r="N8" s="9">
        <f>ROUND(L8*0.3,2)</f>
        <v>457593.08</v>
      </c>
      <c r="O8" s="9">
        <f>ROUND(L8*0.1285,2)+0.01</f>
        <v>196002.38</v>
      </c>
      <c r="P8" s="9">
        <f t="shared" ref="P8" si="34">ROUND((L8*0.07)*0.9,2)</f>
        <v>96094.55</v>
      </c>
      <c r="Q8" s="9">
        <f>ROUND(L8*0.01,2)</f>
        <v>15253.1</v>
      </c>
      <c r="R8" s="9">
        <f t="shared" ref="R8" si="35">ROUND((L8*0.0075)*0.9,2)</f>
        <v>10295.84</v>
      </c>
      <c r="S8" s="9">
        <f t="shared" ref="S8" si="36">ROUND((L8*0.0075)*0.9,2)</f>
        <v>10295.84</v>
      </c>
      <c r="T8" s="9">
        <f>ROUND(L8*0.02,2)-0.01</f>
        <v>30506.2</v>
      </c>
      <c r="U8" s="9">
        <f t="shared" ref="U8" si="37">ROUND(L8*0,2)</f>
        <v>0</v>
      </c>
      <c r="V8" s="40">
        <f t="shared" ref="V8" si="38">E8/W8</f>
        <v>1624.6061963190159</v>
      </c>
      <c r="W8" s="10">
        <v>978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44401</v>
      </c>
      <c r="B9" s="9">
        <v>17353466.720000003</v>
      </c>
      <c r="C9" s="9">
        <v>15653305.699999999</v>
      </c>
      <c r="D9" s="9">
        <v>245330</v>
      </c>
      <c r="E9" s="9">
        <f t="shared" ref="E9" si="39">B9-C9-D9</f>
        <v>1454831.0200000033</v>
      </c>
      <c r="F9" s="9">
        <f>ROUND(E9*0.04,2)</f>
        <v>58193.24</v>
      </c>
      <c r="G9" s="9">
        <f t="shared" ref="G9" si="40">ROUND(E9*0,2)</f>
        <v>0</v>
      </c>
      <c r="H9" s="9">
        <f t="shared" ref="H9" si="41">E9-F9-G9</f>
        <v>1396637.7800000033</v>
      </c>
      <c r="I9" s="9">
        <f t="shared" ref="I9" si="42">ROUND(H9*0,2)</f>
        <v>0</v>
      </c>
      <c r="J9" s="9">
        <f t="shared" ref="J9" si="43">ROUND((I9*0.58)+((I9*0.42)*0.1),2)</f>
        <v>0</v>
      </c>
      <c r="K9" s="9">
        <f t="shared" ref="K9" si="44">ROUND((I9*0.42)*0.9,2)</f>
        <v>0</v>
      </c>
      <c r="L9" s="9">
        <f t="shared" ref="L9" si="45">IF(J9+K9=I9,H9-I9,"ERROR")</f>
        <v>1396637.7800000033</v>
      </c>
      <c r="M9" s="9">
        <f t="shared" ref="M9" si="46">ROUND(L9*0.465,2)</f>
        <v>649436.56999999995</v>
      </c>
      <c r="N9" s="9">
        <f>ROUND(L9*0.3,2)+0.01</f>
        <v>418991.34</v>
      </c>
      <c r="O9" s="9">
        <f>ROUND(L9*0.1285,2)-0.02</f>
        <v>179467.93000000002</v>
      </c>
      <c r="P9" s="9">
        <f t="shared" ref="P9" si="47">ROUND((L9*0.07)*0.9,2)</f>
        <v>87988.18</v>
      </c>
      <c r="Q9" s="9">
        <f>ROUND(L9*0.01,2)</f>
        <v>13966.38</v>
      </c>
      <c r="R9" s="9">
        <f t="shared" ref="R9" si="48">ROUND((L9*0.0075)*0.9,2)</f>
        <v>9427.31</v>
      </c>
      <c r="S9" s="9">
        <f t="shared" ref="S9" si="49">ROUND((L9*0.0075)*0.9,2)</f>
        <v>9427.31</v>
      </c>
      <c r="T9" s="9">
        <f>ROUND(L9*0.02,2)</f>
        <v>27932.76</v>
      </c>
      <c r="U9" s="9">
        <f t="shared" ref="U9" si="50">ROUND(L9*0,2)</f>
        <v>0</v>
      </c>
      <c r="V9" s="40">
        <f t="shared" ref="V9" si="51">E9/W9</f>
        <v>1459.2086459378168</v>
      </c>
      <c r="W9" s="10">
        <v>997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44408</v>
      </c>
      <c r="B10" s="9">
        <v>17040791.800000001</v>
      </c>
      <c r="C10" s="9">
        <v>15261405.98</v>
      </c>
      <c r="D10" s="9">
        <v>221471</v>
      </c>
      <c r="E10" s="9">
        <f t="shared" ref="E10" si="52">B10-C10-D10</f>
        <v>1557914.8200000003</v>
      </c>
      <c r="F10" s="9">
        <f>ROUND(E10*0.04,2)+0.02</f>
        <v>62316.609999999993</v>
      </c>
      <c r="G10" s="9">
        <f t="shared" ref="G10" si="53">ROUND(E10*0,2)</f>
        <v>0</v>
      </c>
      <c r="H10" s="9">
        <f t="shared" ref="H10" si="54">E10-F10-G10</f>
        <v>1495598.2100000002</v>
      </c>
      <c r="I10" s="9">
        <f t="shared" ref="I10" si="55">ROUND(H10*0,2)</f>
        <v>0</v>
      </c>
      <c r="J10" s="9">
        <f t="shared" ref="J10" si="56">ROUND((I10*0.58)+((I10*0.42)*0.1),2)</f>
        <v>0</v>
      </c>
      <c r="K10" s="9">
        <f t="shared" ref="K10" si="57">ROUND((I10*0.42)*0.9,2)</f>
        <v>0</v>
      </c>
      <c r="L10" s="9">
        <f t="shared" ref="L10" si="58">IF(J10+K10=I10,H10-I10,"ERROR")</f>
        <v>1495598.2100000002</v>
      </c>
      <c r="M10" s="9">
        <f t="shared" ref="M10" si="59">ROUND(L10*0.465,2)</f>
        <v>695453.17</v>
      </c>
      <c r="N10" s="9">
        <f>ROUND(L10*0.3,2)+0.01</f>
        <v>448679.47000000003</v>
      </c>
      <c r="O10" s="9">
        <f>ROUND(L10*0.1285,2)-0.01</f>
        <v>192184.36</v>
      </c>
      <c r="P10" s="9">
        <f t="shared" ref="P10" si="60">ROUND((L10*0.07)*0.9,2)</f>
        <v>94222.69</v>
      </c>
      <c r="Q10" s="9">
        <f>ROUND(L10*0.01,2)</f>
        <v>14955.98</v>
      </c>
      <c r="R10" s="9">
        <f t="shared" ref="R10" si="61">ROUND((L10*0.0075)*0.9,2)</f>
        <v>10095.290000000001</v>
      </c>
      <c r="S10" s="9">
        <f t="shared" ref="S10" si="62">ROUND((L10*0.0075)*0.9,2)</f>
        <v>10095.290000000001</v>
      </c>
      <c r="T10" s="9">
        <f>ROUND(L10*0.02,2)</f>
        <v>29911.96</v>
      </c>
      <c r="U10" s="9">
        <f t="shared" ref="U10" si="63">ROUND(L10*0,2)</f>
        <v>0</v>
      </c>
      <c r="V10" s="40">
        <f t="shared" ref="V10" si="64">E10/W10</f>
        <v>1542.4899207920796</v>
      </c>
      <c r="W10" s="10">
        <v>1010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44415</v>
      </c>
      <c r="B11" s="9">
        <v>16912303.16</v>
      </c>
      <c r="C11" s="9">
        <v>15195314.689999999</v>
      </c>
      <c r="D11" s="9">
        <v>275350.89</v>
      </c>
      <c r="E11" s="9">
        <f t="shared" ref="E11" si="65">B11-C11-D11</f>
        <v>1441637.5800000005</v>
      </c>
      <c r="F11" s="9">
        <f>ROUND(E11*0.04,2)+0.01</f>
        <v>57665.51</v>
      </c>
      <c r="G11" s="9">
        <f t="shared" ref="G11" si="66">ROUND(E11*0,2)</f>
        <v>0</v>
      </c>
      <c r="H11" s="9">
        <f t="shared" ref="H11" si="67">E11-F11-G11</f>
        <v>1383972.0700000005</v>
      </c>
      <c r="I11" s="9">
        <f t="shared" ref="I11" si="68">ROUND(H11*0,2)</f>
        <v>0</v>
      </c>
      <c r="J11" s="9">
        <f t="shared" ref="J11" si="69">ROUND((I11*0.58)+((I11*0.42)*0.1),2)</f>
        <v>0</v>
      </c>
      <c r="K11" s="9">
        <f t="shared" ref="K11" si="70">ROUND((I11*0.42)*0.9,2)</f>
        <v>0</v>
      </c>
      <c r="L11" s="9">
        <f t="shared" ref="L11" si="71">IF(J11+K11=I11,H11-I11,"ERROR")</f>
        <v>1383972.0700000005</v>
      </c>
      <c r="M11" s="9">
        <f t="shared" ref="M11" si="72">ROUND(L11*0.465,2)</f>
        <v>643547.01</v>
      </c>
      <c r="N11" s="9">
        <f>ROUND(L11*0.3,2)+0.01</f>
        <v>415191.63</v>
      </c>
      <c r="O11" s="9">
        <f>ROUND(L11*0.1285,2)</f>
        <v>177840.41</v>
      </c>
      <c r="P11" s="9">
        <f t="shared" ref="P11" si="73">ROUND((L11*0.07)*0.9,2)</f>
        <v>87190.24</v>
      </c>
      <c r="Q11" s="9">
        <f>ROUND(L11*0.01,2)</f>
        <v>13839.72</v>
      </c>
      <c r="R11" s="9">
        <f t="shared" ref="R11" si="74">ROUND((L11*0.0075)*0.9,2)</f>
        <v>9341.81</v>
      </c>
      <c r="S11" s="9">
        <f t="shared" ref="S11" si="75">ROUND((L11*0.0075)*0.9,2)</f>
        <v>9341.81</v>
      </c>
      <c r="T11" s="9">
        <f>ROUND(L11*0.02,2)</f>
        <v>27679.439999999999</v>
      </c>
      <c r="U11" s="9">
        <f t="shared" ref="U11" si="76">ROUND(L11*0,2)</f>
        <v>0</v>
      </c>
      <c r="V11" s="40">
        <f t="shared" ref="V11" si="77">E11/W11</f>
        <v>1417.5394100294991</v>
      </c>
      <c r="W11" s="10">
        <v>1017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44422</v>
      </c>
      <c r="B12" s="9">
        <v>17275805.890000001</v>
      </c>
      <c r="C12" s="9">
        <v>15594062.859999999</v>
      </c>
      <c r="D12" s="9">
        <v>240808</v>
      </c>
      <c r="E12" s="9">
        <f t="shared" ref="E12" si="78">B12-C12-D12</f>
        <v>1440935.0300000012</v>
      </c>
      <c r="F12" s="9">
        <f>ROUND(E12*0.04,2)-0.01</f>
        <v>57637.39</v>
      </c>
      <c r="G12" s="9">
        <f t="shared" ref="G12" si="79">ROUND(E12*0,2)</f>
        <v>0</v>
      </c>
      <c r="H12" s="9">
        <f t="shared" ref="H12" si="80">E12-F12-G12</f>
        <v>1383297.6400000013</v>
      </c>
      <c r="I12" s="9">
        <f t="shared" ref="I12" si="81">ROUND(H12*0,2)</f>
        <v>0</v>
      </c>
      <c r="J12" s="9">
        <f t="shared" ref="J12" si="82">ROUND((I12*0.58)+((I12*0.42)*0.1),2)</f>
        <v>0</v>
      </c>
      <c r="K12" s="9">
        <f t="shared" ref="K12" si="83">ROUND((I12*0.42)*0.9,2)</f>
        <v>0</v>
      </c>
      <c r="L12" s="9">
        <f t="shared" ref="L12" si="84">IF(J12+K12=I12,H12-I12,"ERROR")</f>
        <v>1383297.6400000013</v>
      </c>
      <c r="M12" s="9">
        <f t="shared" ref="M12" si="85">ROUND(L12*0.465,2)</f>
        <v>643233.4</v>
      </c>
      <c r="N12" s="9">
        <f>ROUND(L12*0.3,2)</f>
        <v>414989.29</v>
      </c>
      <c r="O12" s="9">
        <f>ROUND(L12*0.1285,2)-0.01</f>
        <v>177753.74</v>
      </c>
      <c r="P12" s="9">
        <f t="shared" ref="P12" si="86">ROUND((L12*0.07)*0.9,2)</f>
        <v>87147.75</v>
      </c>
      <c r="Q12" s="9">
        <f>ROUND(L12*0.01,2)</f>
        <v>13832.98</v>
      </c>
      <c r="R12" s="9">
        <f t="shared" ref="R12" si="87">ROUND((L12*0.0075)*0.9,2)</f>
        <v>9337.26</v>
      </c>
      <c r="S12" s="9">
        <f t="shared" ref="S12" si="88">ROUND((L12*0.0075)*0.9,2)</f>
        <v>9337.26</v>
      </c>
      <c r="T12" s="9">
        <f>ROUND(L12*0.02,2)+0.01</f>
        <v>27665.96</v>
      </c>
      <c r="U12" s="9">
        <f t="shared" ref="U12" si="89">ROUND(L12*0,2)</f>
        <v>0</v>
      </c>
      <c r="V12" s="40">
        <f t="shared" ref="V12" si="90">E12/W12</f>
        <v>1408.538641251223</v>
      </c>
      <c r="W12" s="10">
        <v>1023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44429</v>
      </c>
      <c r="B13" s="9">
        <v>17131302.09</v>
      </c>
      <c r="C13" s="9">
        <v>15344597.379999999</v>
      </c>
      <c r="D13" s="9">
        <v>232279</v>
      </c>
      <c r="E13" s="9">
        <f t="shared" ref="E13" si="91">B13-C13-D13</f>
        <v>1554425.7100000009</v>
      </c>
      <c r="F13" s="9">
        <f>ROUND(E13*0.04,2)-0.01</f>
        <v>62177.02</v>
      </c>
      <c r="G13" s="9">
        <f t="shared" ref="G13" si="92">ROUND(E13*0,2)</f>
        <v>0</v>
      </c>
      <c r="H13" s="9">
        <f t="shared" ref="H13" si="93">E13-F13-G13</f>
        <v>1492248.6900000009</v>
      </c>
      <c r="I13" s="9">
        <f t="shared" ref="I13" si="94">ROUND(H13*0,2)</f>
        <v>0</v>
      </c>
      <c r="J13" s="9">
        <f t="shared" ref="J13" si="95">ROUND((I13*0.58)+((I13*0.42)*0.1),2)</f>
        <v>0</v>
      </c>
      <c r="K13" s="9">
        <f t="shared" ref="K13" si="96">ROUND((I13*0.42)*0.9,2)</f>
        <v>0</v>
      </c>
      <c r="L13" s="9">
        <f t="shared" ref="L13" si="97">IF(J13+K13=I13,H13-I13,"ERROR")</f>
        <v>1492248.6900000009</v>
      </c>
      <c r="M13" s="9">
        <f t="shared" ref="M13" si="98">ROUND(L13*0.465,2)</f>
        <v>693895.64</v>
      </c>
      <c r="N13" s="9">
        <f>ROUND(L13*0.3,2)+0.02</f>
        <v>447674.63</v>
      </c>
      <c r="O13" s="9">
        <f>ROUND(L13*0.1285,2)-0.01</f>
        <v>191753.94999999998</v>
      </c>
      <c r="P13" s="9">
        <f t="shared" ref="P13" si="99">ROUND((L13*0.07)*0.9,2)</f>
        <v>94011.67</v>
      </c>
      <c r="Q13" s="9">
        <f>ROUND(L13*0.01,2)-0.01</f>
        <v>14922.48</v>
      </c>
      <c r="R13" s="9">
        <f t="shared" ref="R13" si="100">ROUND((L13*0.0075)*0.9,2)</f>
        <v>10072.68</v>
      </c>
      <c r="S13" s="9">
        <f t="shared" ref="S13" si="101">ROUND((L13*0.0075)*0.9,2)</f>
        <v>10072.68</v>
      </c>
      <c r="T13" s="9">
        <f>ROUND(L13*0.02,2)-0.01</f>
        <v>29844.960000000003</v>
      </c>
      <c r="U13" s="9">
        <f t="shared" ref="U13" si="102">ROUND(L13*0,2)</f>
        <v>0</v>
      </c>
      <c r="V13" s="40">
        <f t="shared" ref="V13" si="103">E13/W13</f>
        <v>1531.4539014778334</v>
      </c>
      <c r="W13" s="10">
        <v>1015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44436</v>
      </c>
      <c r="B14" s="9">
        <v>16277984.469999999</v>
      </c>
      <c r="C14" s="9">
        <v>14538575.09</v>
      </c>
      <c r="D14" s="9">
        <v>223830</v>
      </c>
      <c r="E14" s="9">
        <f t="shared" ref="E14" si="104">B14-C14-D14</f>
        <v>1515579.379999999</v>
      </c>
      <c r="F14" s="9">
        <f>ROUND(E14*0.04,2)-0.01</f>
        <v>60623.17</v>
      </c>
      <c r="G14" s="9">
        <f t="shared" ref="G14" si="105">ROUND(E14*0,2)</f>
        <v>0</v>
      </c>
      <c r="H14" s="9">
        <f t="shared" ref="H14" si="106">E14-F14-G14</f>
        <v>1454956.209999999</v>
      </c>
      <c r="I14" s="9">
        <f t="shared" ref="I14" si="107">ROUND(H14*0,2)</f>
        <v>0</v>
      </c>
      <c r="J14" s="9">
        <f t="shared" ref="J14" si="108">ROUND((I14*0.58)+((I14*0.42)*0.1),2)</f>
        <v>0</v>
      </c>
      <c r="K14" s="9">
        <f t="shared" ref="K14" si="109">ROUND((I14*0.42)*0.9,2)</f>
        <v>0</v>
      </c>
      <c r="L14" s="9">
        <f t="shared" ref="L14" si="110">IF(J14+K14=I14,H14-I14,"ERROR")</f>
        <v>1454956.209999999</v>
      </c>
      <c r="M14" s="9">
        <f t="shared" ref="M14" si="111">ROUND(L14*0.465,2)</f>
        <v>676554.64</v>
      </c>
      <c r="N14" s="9">
        <f>ROUND(L14*0.3,2)+0.02</f>
        <v>436486.88</v>
      </c>
      <c r="O14" s="9">
        <f>ROUND(L14*0.1285,2)</f>
        <v>186961.87</v>
      </c>
      <c r="P14" s="9">
        <f t="shared" ref="P14" si="112">ROUND((L14*0.07)*0.9,2)</f>
        <v>91662.24</v>
      </c>
      <c r="Q14" s="9">
        <f>ROUND(L14*0.01,2)</f>
        <v>14549.56</v>
      </c>
      <c r="R14" s="9">
        <f t="shared" ref="R14" si="113">ROUND((L14*0.0075)*0.9,2)</f>
        <v>9820.9500000000007</v>
      </c>
      <c r="S14" s="9">
        <f t="shared" ref="S14" si="114">ROUND((L14*0.0075)*0.9,2)</f>
        <v>9820.9500000000007</v>
      </c>
      <c r="T14" s="9">
        <f>ROUND(L14*0.02,2)</f>
        <v>29099.119999999999</v>
      </c>
      <c r="U14" s="9">
        <f t="shared" ref="U14" si="115">ROUND(L14*0,2)</f>
        <v>0</v>
      </c>
      <c r="V14" s="40">
        <f t="shared" ref="V14" si="116">E14/W14</f>
        <v>1503.5509722222212</v>
      </c>
      <c r="W14" s="10">
        <v>1008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44443</v>
      </c>
      <c r="B15" s="9">
        <v>15026497.180000002</v>
      </c>
      <c r="C15" s="9">
        <v>13551889.02</v>
      </c>
      <c r="D15" s="9">
        <v>223982</v>
      </c>
      <c r="E15" s="9">
        <f t="shared" ref="E15" si="117">B15-C15-D15</f>
        <v>1250626.160000002</v>
      </c>
      <c r="F15" s="9">
        <f>ROUND(E15*0.04,2)-0.01</f>
        <v>50025.04</v>
      </c>
      <c r="G15" s="9">
        <f t="shared" ref="G15" si="118">ROUND(E15*0,2)</f>
        <v>0</v>
      </c>
      <c r="H15" s="9">
        <f t="shared" ref="H15" si="119">E15-F15-G15</f>
        <v>1200601.120000002</v>
      </c>
      <c r="I15" s="9">
        <f t="shared" ref="I15" si="120">ROUND(H15*0,2)</f>
        <v>0</v>
      </c>
      <c r="J15" s="9">
        <f t="shared" ref="J15" si="121">ROUND((I15*0.58)+((I15*0.42)*0.1),2)</f>
        <v>0</v>
      </c>
      <c r="K15" s="9">
        <f t="shared" ref="K15" si="122">ROUND((I15*0.42)*0.9,2)</f>
        <v>0</v>
      </c>
      <c r="L15" s="9">
        <f t="shared" ref="L15" si="123">IF(J15+K15=I15,H15-I15,"ERROR")</f>
        <v>1200601.120000002</v>
      </c>
      <c r="M15" s="9">
        <f t="shared" ref="M15" si="124">ROUND(L15*0.465,2)</f>
        <v>558279.52</v>
      </c>
      <c r="N15" s="9">
        <f>ROUND(L15*0.3,2)-0.06</f>
        <v>360180.28</v>
      </c>
      <c r="O15" s="9">
        <f>ROUND(L15*0.1285,2)+0.03</f>
        <v>154277.26999999999</v>
      </c>
      <c r="P15" s="9">
        <f t="shared" ref="P15" si="125">ROUND((L15*0.07)*0.9,2)</f>
        <v>75637.87</v>
      </c>
      <c r="Q15" s="9">
        <f>ROUND(L15*0.01,2)+0.01</f>
        <v>12006.02</v>
      </c>
      <c r="R15" s="9">
        <f t="shared" ref="R15" si="126">ROUND((L15*0.0075)*0.9,2)</f>
        <v>8104.06</v>
      </c>
      <c r="S15" s="9">
        <f t="shared" ref="S15" si="127">ROUND((L15*0.0075)*0.9,2)</f>
        <v>8104.06</v>
      </c>
      <c r="T15" s="9">
        <f>ROUND(L15*0.02,2)+0.02</f>
        <v>24012.04</v>
      </c>
      <c r="U15" s="9">
        <f t="shared" ref="U15" si="128">ROUND(L15*0,2)</f>
        <v>0</v>
      </c>
      <c r="V15" s="40">
        <f t="shared" ref="V15" si="129">E15/W15</f>
        <v>1227.307320902848</v>
      </c>
      <c r="W15" s="10">
        <v>1019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44450</v>
      </c>
      <c r="B16" s="9">
        <v>18100527.690000001</v>
      </c>
      <c r="C16" s="9">
        <v>16254731.029999999</v>
      </c>
      <c r="D16" s="9">
        <v>248644</v>
      </c>
      <c r="E16" s="9">
        <f t="shared" ref="E16" si="130">B16-C16-D16</f>
        <v>1597152.660000002</v>
      </c>
      <c r="F16" s="9">
        <f>ROUND(E16*0.04,2)-0.02</f>
        <v>63886.090000000004</v>
      </c>
      <c r="G16" s="9">
        <f t="shared" ref="G16" si="131">ROUND(E16*0,2)</f>
        <v>0</v>
      </c>
      <c r="H16" s="9">
        <f t="shared" ref="H16" si="132">E16-F16-G16</f>
        <v>1533266.5700000019</v>
      </c>
      <c r="I16" s="9">
        <f t="shared" ref="I16" si="133">ROUND(H16*0,2)</f>
        <v>0</v>
      </c>
      <c r="J16" s="9">
        <f t="shared" ref="J16" si="134">ROUND((I16*0.58)+((I16*0.42)*0.1),2)</f>
        <v>0</v>
      </c>
      <c r="K16" s="9">
        <f t="shared" ref="K16" si="135">ROUND((I16*0.42)*0.9,2)</f>
        <v>0</v>
      </c>
      <c r="L16" s="9">
        <f t="shared" ref="L16" si="136">IF(J16+K16=I16,H16-I16,"ERROR")</f>
        <v>1533266.5700000019</v>
      </c>
      <c r="M16" s="9">
        <f t="shared" ref="M16" si="137">ROUND(L16*0.465,2)</f>
        <v>712968.96</v>
      </c>
      <c r="N16" s="9">
        <f>ROUND(L16*0.3,2)+0.02</f>
        <v>459979.99</v>
      </c>
      <c r="O16" s="9">
        <f>ROUND(L16*0.1285,2)</f>
        <v>197024.75</v>
      </c>
      <c r="P16" s="9">
        <f t="shared" ref="P16" si="138">ROUND((L16*0.07)*0.9,2)</f>
        <v>96595.79</v>
      </c>
      <c r="Q16" s="9">
        <f>ROUND(L16*0.01,2)-0.01</f>
        <v>15332.66</v>
      </c>
      <c r="R16" s="9">
        <f t="shared" ref="R16" si="139">ROUND((L16*0.0075)*0.9,2)</f>
        <v>10349.549999999999</v>
      </c>
      <c r="S16" s="9">
        <f t="shared" ref="S16" si="140">ROUND((L16*0.0075)*0.9,2)</f>
        <v>10349.549999999999</v>
      </c>
      <c r="T16" s="9">
        <f>ROUND(L16*0.02,2)-0.01</f>
        <v>30665.320000000003</v>
      </c>
      <c r="U16" s="9">
        <f t="shared" ref="U16" si="141">ROUND(L16*0,2)</f>
        <v>0</v>
      </c>
      <c r="V16" s="40">
        <f t="shared" ref="V16" si="142">E16/W16</f>
        <v>1538.6827167630076</v>
      </c>
      <c r="W16" s="10">
        <v>1038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44457</v>
      </c>
      <c r="B17" s="9">
        <v>14987900.110000001</v>
      </c>
      <c r="C17" s="9">
        <v>13398515.150000002</v>
      </c>
      <c r="D17" s="9">
        <v>190363</v>
      </c>
      <c r="E17" s="9">
        <f t="shared" ref="E17" si="143">B17-C17-D17</f>
        <v>1399021.959999999</v>
      </c>
      <c r="F17" s="9">
        <f>ROUND(E17*0.04,2)-0.01</f>
        <v>55960.869999999995</v>
      </c>
      <c r="G17" s="9">
        <f t="shared" ref="G17" si="144">ROUND(E17*0,2)</f>
        <v>0</v>
      </c>
      <c r="H17" s="9">
        <f t="shared" ref="H17" si="145">E17-F17-G17</f>
        <v>1343061.0899999989</v>
      </c>
      <c r="I17" s="9">
        <f t="shared" ref="I17" si="146">ROUND(H17*0,2)</f>
        <v>0</v>
      </c>
      <c r="J17" s="9">
        <f t="shared" ref="J17" si="147">ROUND((I17*0.58)+((I17*0.42)*0.1),2)</f>
        <v>0</v>
      </c>
      <c r="K17" s="9">
        <f t="shared" ref="K17" si="148">ROUND((I17*0.42)*0.9,2)</f>
        <v>0</v>
      </c>
      <c r="L17" s="9">
        <f t="shared" ref="L17" si="149">IF(J17+K17=I17,H17-I17,"ERROR")</f>
        <v>1343061.0899999989</v>
      </c>
      <c r="M17" s="9">
        <f t="shared" ref="M17" si="150">ROUND(L17*0.465,2)</f>
        <v>624523.41</v>
      </c>
      <c r="N17" s="9">
        <f>ROUND(L17*0.3,2)-0.06</f>
        <v>402918.27</v>
      </c>
      <c r="O17" s="9">
        <f>ROUND(L17*0.1285,2)+0.03</f>
        <v>172583.38</v>
      </c>
      <c r="P17" s="9">
        <f t="shared" ref="P17" si="151">ROUND((L17*0.07)*0.9,2)</f>
        <v>84612.85</v>
      </c>
      <c r="Q17" s="9">
        <f>ROUND(L17*0.01,2)+0.01</f>
        <v>13430.62</v>
      </c>
      <c r="R17" s="9">
        <f t="shared" ref="R17" si="152">ROUND((L17*0.0075)*0.9,2)</f>
        <v>9065.66</v>
      </c>
      <c r="S17" s="9">
        <f t="shared" ref="S17" si="153">ROUND((L17*0.0075)*0.9,2)</f>
        <v>9065.66</v>
      </c>
      <c r="T17" s="9">
        <f>ROUND(L17*0.02,2)+0.02</f>
        <v>26861.24</v>
      </c>
      <c r="U17" s="9">
        <f t="shared" ref="U17" si="154">ROUND(L17*0,2)</f>
        <v>0</v>
      </c>
      <c r="V17" s="40">
        <f t="shared" ref="V17" si="155">E17/W17</f>
        <v>1341.3441610738246</v>
      </c>
      <c r="W17" s="10">
        <v>1043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44464</v>
      </c>
      <c r="B18" s="9">
        <v>15855927.390000001</v>
      </c>
      <c r="C18" s="9">
        <v>14177174.5</v>
      </c>
      <c r="D18" s="9">
        <v>201709</v>
      </c>
      <c r="E18" s="9">
        <f t="shared" ref="E18" si="156">B18-C18-D18</f>
        <v>1477043.8900000006</v>
      </c>
      <c r="F18" s="9">
        <f>ROUND(E18*0.04,2)-0.01</f>
        <v>59081.75</v>
      </c>
      <c r="G18" s="9">
        <f t="shared" ref="G18" si="157">ROUND(E18*0,2)</f>
        <v>0</v>
      </c>
      <c r="H18" s="9">
        <f t="shared" ref="H18" si="158">E18-F18-G18</f>
        <v>1417962.1400000006</v>
      </c>
      <c r="I18" s="9">
        <f t="shared" ref="I18" si="159">ROUND(H18*0,2)</f>
        <v>0</v>
      </c>
      <c r="J18" s="9">
        <f t="shared" ref="J18" si="160">ROUND((I18*0.58)+((I18*0.42)*0.1),2)</f>
        <v>0</v>
      </c>
      <c r="K18" s="9">
        <f t="shared" ref="K18" si="161">ROUND((I18*0.42)*0.9,2)</f>
        <v>0</v>
      </c>
      <c r="L18" s="9">
        <f t="shared" ref="L18" si="162">IF(J18+K18=I18,H18-I18,"ERROR")</f>
        <v>1417962.1400000006</v>
      </c>
      <c r="M18" s="9">
        <f t="shared" ref="M18" si="163">ROUND(L18*0.465,2)</f>
        <v>659352.4</v>
      </c>
      <c r="N18" s="9">
        <f>ROUND(L18*0.3,2)-0.01</f>
        <v>425388.63</v>
      </c>
      <c r="O18" s="9">
        <f>ROUND(L18*0.1285,2)+0.03</f>
        <v>182208.16</v>
      </c>
      <c r="P18" s="9">
        <f t="shared" ref="P18" si="164">ROUND((L18*0.07)*0.9,2)</f>
        <v>89331.61</v>
      </c>
      <c r="Q18" s="9">
        <f>ROUND(L18*0.01,2)</f>
        <v>14179.62</v>
      </c>
      <c r="R18" s="9">
        <f t="shared" ref="R18" si="165">ROUND((L18*0.0075)*0.9,2)</f>
        <v>9571.24</v>
      </c>
      <c r="S18" s="9">
        <f t="shared" ref="S18" si="166">ROUND((L18*0.0075)*0.9,2)</f>
        <v>9571.24</v>
      </c>
      <c r="T18" s="9">
        <f>ROUND(L18*0.02,2)</f>
        <v>28359.24</v>
      </c>
      <c r="U18" s="9">
        <f t="shared" ref="U18" si="167">ROUND(L18*0,2)</f>
        <v>0</v>
      </c>
      <c r="V18" s="40">
        <f t="shared" ref="V18" si="168">E18/W18</f>
        <v>1421.6014340712229</v>
      </c>
      <c r="W18" s="10">
        <v>1039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44471</v>
      </c>
      <c r="B19" s="9">
        <v>15121300.830000002</v>
      </c>
      <c r="C19" s="9">
        <v>13501970.84</v>
      </c>
      <c r="D19" s="9">
        <v>215723</v>
      </c>
      <c r="E19" s="9">
        <f t="shared" ref="E19" si="169">B19-C19-D19</f>
        <v>1403606.9900000021</v>
      </c>
      <c r="F19" s="9">
        <f>ROUND(E19*0.04,2)</f>
        <v>56144.28</v>
      </c>
      <c r="G19" s="9">
        <f t="shared" ref="G19" si="170">ROUND(E19*0,2)</f>
        <v>0</v>
      </c>
      <c r="H19" s="9">
        <f t="shared" ref="H19" si="171">E19-F19-G19</f>
        <v>1347462.7100000021</v>
      </c>
      <c r="I19" s="9">
        <f t="shared" ref="I19" si="172">ROUND(H19*0,2)</f>
        <v>0</v>
      </c>
      <c r="J19" s="9">
        <f t="shared" ref="J19" si="173">ROUND((I19*0.58)+((I19*0.42)*0.1),2)</f>
        <v>0</v>
      </c>
      <c r="K19" s="9">
        <f t="shared" ref="K19" si="174">ROUND((I19*0.42)*0.9,2)</f>
        <v>0</v>
      </c>
      <c r="L19" s="9">
        <f t="shared" ref="L19" si="175">IF(J19+K19=I19,H19-I19,"ERROR")</f>
        <v>1347462.7100000021</v>
      </c>
      <c r="M19" s="9">
        <f t="shared" ref="M19" si="176">ROUND(L19*0.465,2)</f>
        <v>626570.16</v>
      </c>
      <c r="N19" s="9">
        <f>ROUND(L19*0.3,2)+0.04</f>
        <v>404238.85</v>
      </c>
      <c r="O19" s="9">
        <f>ROUND(L19*0.1285,2)-0.01</f>
        <v>173148.94999999998</v>
      </c>
      <c r="P19" s="9">
        <f t="shared" ref="P19" si="177">ROUND((L19*0.07)*0.9,2)</f>
        <v>84890.15</v>
      </c>
      <c r="Q19" s="9">
        <f>ROUND(L19*0.01,2)-0.01</f>
        <v>13474.619999999999</v>
      </c>
      <c r="R19" s="9">
        <f t="shared" ref="R19" si="178">ROUND((L19*0.0075)*0.9,2)</f>
        <v>9095.3700000000008</v>
      </c>
      <c r="S19" s="9">
        <f t="shared" ref="S19" si="179">ROUND((L19*0.0075)*0.9,2)</f>
        <v>9095.3700000000008</v>
      </c>
      <c r="T19" s="9">
        <f>ROUND(L19*0.02,2)-0.01</f>
        <v>26949.24</v>
      </c>
      <c r="U19" s="9">
        <f t="shared" ref="U19" si="180">ROUND(L19*0,2)</f>
        <v>0</v>
      </c>
      <c r="V19" s="40">
        <f t="shared" ref="V19" si="181">E19/W19</f>
        <v>1339.3196469465668</v>
      </c>
      <c r="W19" s="10">
        <v>1048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44478</v>
      </c>
      <c r="B20" s="9">
        <v>15773222.439999999</v>
      </c>
      <c r="C20" s="9">
        <v>14136855.08</v>
      </c>
      <c r="D20" s="9">
        <v>212625</v>
      </c>
      <c r="E20" s="9">
        <f t="shared" ref="E20" si="182">B20-C20-D20</f>
        <v>1423742.3599999994</v>
      </c>
      <c r="F20" s="9">
        <f>ROUND(E20*0.04,2)+0.01</f>
        <v>56949.700000000004</v>
      </c>
      <c r="G20" s="9">
        <f t="shared" ref="G20" si="183">ROUND(E20*0,2)</f>
        <v>0</v>
      </c>
      <c r="H20" s="9">
        <f t="shared" ref="H20" si="184">E20-F20-G20</f>
        <v>1366792.6599999995</v>
      </c>
      <c r="I20" s="9">
        <f t="shared" ref="I20" si="185">ROUND(H20*0,2)</f>
        <v>0</v>
      </c>
      <c r="J20" s="9">
        <f t="shared" ref="J20" si="186">ROUND((I20*0.58)+((I20*0.42)*0.1),2)</f>
        <v>0</v>
      </c>
      <c r="K20" s="9">
        <f t="shared" ref="K20" si="187">ROUND((I20*0.42)*0.9,2)</f>
        <v>0</v>
      </c>
      <c r="L20" s="9">
        <f t="shared" ref="L20" si="188">IF(J20+K20=I20,H20-I20,"ERROR")</f>
        <v>1366792.6599999995</v>
      </c>
      <c r="M20" s="9">
        <f t="shared" ref="M20" si="189">ROUND(L20*0.465,2)</f>
        <v>635558.59</v>
      </c>
      <c r="N20" s="9">
        <f>ROUND(L20*0.3,2)+0.01</f>
        <v>410037.81</v>
      </c>
      <c r="O20" s="9">
        <f>ROUND(L20*0.1285,2)</f>
        <v>175632.86</v>
      </c>
      <c r="P20" s="9">
        <f t="shared" ref="P20" si="190">ROUND((L20*0.07)*0.9,2)</f>
        <v>86107.94</v>
      </c>
      <c r="Q20" s="9">
        <f>ROUND(L20*0.01,2)-0.01</f>
        <v>13667.92</v>
      </c>
      <c r="R20" s="9">
        <f t="shared" ref="R20" si="191">ROUND((L20*0.0075)*0.9,2)</f>
        <v>9225.85</v>
      </c>
      <c r="S20" s="9">
        <f t="shared" ref="S20" si="192">ROUND((L20*0.0075)*0.9,2)</f>
        <v>9225.85</v>
      </c>
      <c r="T20" s="9">
        <f>ROUND(L20*0.02,2)-0.01</f>
        <v>27335.84</v>
      </c>
      <c r="U20" s="9">
        <f t="shared" ref="U20" si="193">ROUND(L20*0,2)</f>
        <v>0</v>
      </c>
      <c r="V20" s="40">
        <f t="shared" ref="V20" si="194">E20/W20</f>
        <v>1344.4214919735593</v>
      </c>
      <c r="W20" s="10">
        <v>1059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44485</v>
      </c>
      <c r="B21" s="9">
        <v>16319489.640000001</v>
      </c>
      <c r="C21" s="9">
        <v>14596334.239999998</v>
      </c>
      <c r="D21" s="9">
        <v>191577</v>
      </c>
      <c r="E21" s="9">
        <f t="shared" ref="E21" si="195">B21-C21-D21</f>
        <v>1531578.4000000022</v>
      </c>
      <c r="F21" s="9">
        <f>ROUND(E21*0.04,2)-0.01</f>
        <v>61263.13</v>
      </c>
      <c r="G21" s="9">
        <f t="shared" ref="G21" si="196">ROUND(E21*0,2)</f>
        <v>0</v>
      </c>
      <c r="H21" s="9">
        <f t="shared" ref="H21" si="197">E21-F21-G21</f>
        <v>1470315.2700000023</v>
      </c>
      <c r="I21" s="9">
        <f t="shared" ref="I21" si="198">ROUND(H21*0,2)</f>
        <v>0</v>
      </c>
      <c r="J21" s="9">
        <f t="shared" ref="J21" si="199">ROUND((I21*0.58)+((I21*0.42)*0.1),2)</f>
        <v>0</v>
      </c>
      <c r="K21" s="9">
        <f t="shared" ref="K21" si="200">ROUND((I21*0.42)*0.9,2)</f>
        <v>0</v>
      </c>
      <c r="L21" s="9">
        <f t="shared" ref="L21" si="201">IF(J21+K21=I21,H21-I21,"ERROR")</f>
        <v>1470315.2700000023</v>
      </c>
      <c r="M21" s="9">
        <f t="shared" ref="M21" si="202">ROUND(L21*0.465,2)</f>
        <v>683696.6</v>
      </c>
      <c r="N21" s="9">
        <f>ROUND(L21*0.3,2)-0.03</f>
        <v>441094.55</v>
      </c>
      <c r="O21" s="9">
        <f>ROUND(L21*0.1285,2)+0.01</f>
        <v>188935.52000000002</v>
      </c>
      <c r="P21" s="9">
        <f t="shared" ref="P21" si="203">ROUND((L21*0.07)*0.9,2)</f>
        <v>92629.86</v>
      </c>
      <c r="Q21" s="9">
        <f>ROUND(L21*0.01,2)+0.01</f>
        <v>14703.16</v>
      </c>
      <c r="R21" s="9">
        <f t="shared" ref="R21" si="204">ROUND((L21*0.0075)*0.9,2)</f>
        <v>9924.6299999999992</v>
      </c>
      <c r="S21" s="9">
        <f t="shared" ref="S21" si="205">ROUND((L21*0.0075)*0.9,2)</f>
        <v>9924.6299999999992</v>
      </c>
      <c r="T21" s="9">
        <f>ROUND(L21*0.02,2)+0.01</f>
        <v>29406.32</v>
      </c>
      <c r="U21" s="9">
        <f t="shared" ref="U21" si="206">ROUND(L21*0,2)</f>
        <v>0</v>
      </c>
      <c r="V21" s="40">
        <f t="shared" ref="V21" si="207">E21/W21</f>
        <v>1438.1017840375607</v>
      </c>
      <c r="W21" s="10">
        <v>1065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44492</v>
      </c>
      <c r="B22" s="9">
        <v>15877504.789999999</v>
      </c>
      <c r="C22" s="9">
        <v>14316564.24</v>
      </c>
      <c r="D22" s="9">
        <v>197943</v>
      </c>
      <c r="E22" s="9">
        <f t="shared" ref="E22" si="208">B22-C22-D22</f>
        <v>1362997.5499999989</v>
      </c>
      <c r="F22" s="9">
        <f>ROUND(E22*0.04,2)-0.01</f>
        <v>54519.89</v>
      </c>
      <c r="G22" s="9">
        <f t="shared" ref="G22" si="209">ROUND(E22*0,2)</f>
        <v>0</v>
      </c>
      <c r="H22" s="9">
        <f t="shared" ref="H22" si="210">E22-F22-G22</f>
        <v>1308477.659999999</v>
      </c>
      <c r="I22" s="9">
        <f t="shared" ref="I22" si="211">ROUND(H22*0,2)</f>
        <v>0</v>
      </c>
      <c r="J22" s="9">
        <f t="shared" ref="J22" si="212">ROUND((I22*0.58)+((I22*0.42)*0.1),2)</f>
        <v>0</v>
      </c>
      <c r="K22" s="9">
        <f t="shared" ref="K22" si="213">ROUND((I22*0.42)*0.9,2)</f>
        <v>0</v>
      </c>
      <c r="L22" s="9">
        <f t="shared" ref="L22" si="214">IF(J22+K22=I22,H22-I22,"ERROR")</f>
        <v>1308477.659999999</v>
      </c>
      <c r="M22" s="9">
        <f t="shared" ref="M22" si="215">ROUND(L22*0.465,2)</f>
        <v>608442.11</v>
      </c>
      <c r="N22" s="9">
        <f>ROUND(L22*0.3,2)-0.02</f>
        <v>392543.27999999997</v>
      </c>
      <c r="O22" s="9">
        <f>ROUND(L22*0.1285,2)+0.02</f>
        <v>168139.4</v>
      </c>
      <c r="P22" s="9">
        <f t="shared" ref="P22" si="216">ROUND((L22*0.07)*0.9,2)</f>
        <v>82434.09</v>
      </c>
      <c r="Q22" s="9">
        <f>ROUND(L22*0.01,2)</f>
        <v>13084.78</v>
      </c>
      <c r="R22" s="9">
        <f t="shared" ref="R22" si="217">ROUND((L22*0.0075)*0.9,2)</f>
        <v>8832.2199999999993</v>
      </c>
      <c r="S22" s="9">
        <f t="shared" ref="S22" si="218">ROUND((L22*0.0075)*0.9,2)</f>
        <v>8832.2199999999993</v>
      </c>
      <c r="T22" s="9">
        <f>ROUND(L22*0.02,2)+0.01</f>
        <v>26169.559999999998</v>
      </c>
      <c r="U22" s="9">
        <f t="shared" ref="U22" si="219">ROUND(L22*0,2)</f>
        <v>0</v>
      </c>
      <c r="V22" s="40">
        <f t="shared" ref="V22" si="220">E22/W22</f>
        <v>1279.8099061032854</v>
      </c>
      <c r="W22" s="10">
        <v>1065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44499</v>
      </c>
      <c r="B23" s="9">
        <v>15618859.23</v>
      </c>
      <c r="C23" s="9">
        <v>13934163.039999999</v>
      </c>
      <c r="D23" s="9">
        <v>184312</v>
      </c>
      <c r="E23" s="9">
        <f t="shared" ref="E23" si="221">B23-C23-D23</f>
        <v>1500384.1900000013</v>
      </c>
      <c r="F23" s="9">
        <f>ROUND(E23*0.04,2)+0.01</f>
        <v>60015.380000000005</v>
      </c>
      <c r="G23" s="9">
        <f t="shared" ref="G23" si="222">ROUND(E23*0,2)</f>
        <v>0</v>
      </c>
      <c r="H23" s="9">
        <f t="shared" ref="H23" si="223">E23-F23-G23</f>
        <v>1440368.8100000015</v>
      </c>
      <c r="I23" s="9">
        <f t="shared" ref="I23" si="224">ROUND(H23*0,2)</f>
        <v>0</v>
      </c>
      <c r="J23" s="9">
        <f t="shared" ref="J23" si="225">ROUND((I23*0.58)+((I23*0.42)*0.1),2)</f>
        <v>0</v>
      </c>
      <c r="K23" s="9">
        <f t="shared" ref="K23" si="226">ROUND((I23*0.42)*0.9,2)</f>
        <v>0</v>
      </c>
      <c r="L23" s="9">
        <f t="shared" ref="L23" si="227">IF(J23+K23=I23,H23-I23,"ERROR")</f>
        <v>1440368.8100000015</v>
      </c>
      <c r="M23" s="9">
        <f t="shared" ref="M23" si="228">ROUND(L23*0.465,2)</f>
        <v>669771.5</v>
      </c>
      <c r="N23" s="9">
        <f>ROUND(L23*0.3,2)+0.03</f>
        <v>432110.67000000004</v>
      </c>
      <c r="O23" s="9">
        <f>ROUND(L23*0.1285,2)-0.01</f>
        <v>185087.38</v>
      </c>
      <c r="P23" s="9">
        <f t="shared" ref="P23" si="229">ROUND((L23*0.07)*0.9,2)</f>
        <v>90743.24</v>
      </c>
      <c r="Q23" s="9">
        <f>ROUND(L23*0.01,2)-0.01</f>
        <v>14403.68</v>
      </c>
      <c r="R23" s="9">
        <f t="shared" ref="R23" si="230">ROUND((L23*0.0075)*0.9,2)</f>
        <v>9722.49</v>
      </c>
      <c r="S23" s="9">
        <f t="shared" ref="S23" si="231">ROUND((L23*0.0075)*0.9,2)</f>
        <v>9722.49</v>
      </c>
      <c r="T23" s="9">
        <f>ROUND(L23*0.02,2)-0.02</f>
        <v>28807.360000000001</v>
      </c>
      <c r="U23" s="9">
        <f t="shared" ref="U23" si="232">ROUND(L23*0,2)</f>
        <v>0</v>
      </c>
      <c r="V23" s="40">
        <f t="shared" ref="V23" si="233">E23/W23</f>
        <v>1412.7911393596999</v>
      </c>
      <c r="W23" s="10">
        <v>1062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44506</v>
      </c>
      <c r="B24" s="9">
        <v>15836581.279999999</v>
      </c>
      <c r="C24" s="9">
        <v>14212238.540000001</v>
      </c>
      <c r="D24" s="9">
        <v>206309</v>
      </c>
      <c r="E24" s="9">
        <f t="shared" ref="E24" si="234">B24-C24-D24</f>
        <v>1418033.7399999984</v>
      </c>
      <c r="F24" s="9">
        <f>ROUND(E24*0.04,2)+0.01</f>
        <v>56721.36</v>
      </c>
      <c r="G24" s="9">
        <f t="shared" ref="G24" si="235">ROUND(E24*0,2)</f>
        <v>0</v>
      </c>
      <c r="H24" s="9">
        <f t="shared" ref="H24" si="236">E24-F24-G24</f>
        <v>1361312.3799999983</v>
      </c>
      <c r="I24" s="9">
        <f t="shared" ref="I24" si="237">ROUND(H24*0,2)</f>
        <v>0</v>
      </c>
      <c r="J24" s="9">
        <f t="shared" ref="J24" si="238">ROUND((I24*0.58)+((I24*0.42)*0.1),2)</f>
        <v>0</v>
      </c>
      <c r="K24" s="9">
        <f t="shared" ref="K24" si="239">ROUND((I24*0.42)*0.9,2)</f>
        <v>0</v>
      </c>
      <c r="L24" s="9">
        <f t="shared" ref="L24" si="240">IF(J24+K24=I24,H24-I24,"ERROR")</f>
        <v>1361312.3799999983</v>
      </c>
      <c r="M24" s="9">
        <f t="shared" ref="M24" si="241">ROUND(L24*0.465,2)</f>
        <v>633010.26</v>
      </c>
      <c r="N24" s="9">
        <f>ROUND(L24*0.3,2)+0.02</f>
        <v>408393.73000000004</v>
      </c>
      <c r="O24" s="9">
        <f>ROUND(L24*0.1285,2)-0.01</f>
        <v>174928.63</v>
      </c>
      <c r="P24" s="9">
        <f t="shared" ref="P24" si="242">ROUND((L24*0.07)*0.9,2)</f>
        <v>85762.68</v>
      </c>
      <c r="Q24" s="9">
        <f>ROUND(L24*0.01,2)</f>
        <v>13613.12</v>
      </c>
      <c r="R24" s="9">
        <f t="shared" ref="R24" si="243">ROUND((L24*0.0075)*0.9,2)</f>
        <v>9188.86</v>
      </c>
      <c r="S24" s="9">
        <f t="shared" ref="S24" si="244">ROUND((L24*0.0075)*0.9,2)</f>
        <v>9188.86</v>
      </c>
      <c r="T24" s="9">
        <f>ROUND(L24*0.02,2)-0.01</f>
        <v>27226.240000000002</v>
      </c>
      <c r="U24" s="9">
        <f t="shared" ref="U24" si="245">ROUND(L24*0,2)</f>
        <v>0</v>
      </c>
      <c r="V24" s="40">
        <f t="shared" ref="V24" si="246">E24/W24</f>
        <v>1326.5049017773604</v>
      </c>
      <c r="W24" s="10">
        <v>1069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44513</v>
      </c>
      <c r="B25" s="9">
        <v>16049887.969999999</v>
      </c>
      <c r="C25" s="9">
        <v>14361739.859999999</v>
      </c>
      <c r="D25" s="9">
        <v>200248</v>
      </c>
      <c r="E25" s="9">
        <f t="shared" ref="E25" si="247">B25-C25-D25</f>
        <v>1487900.1099999994</v>
      </c>
      <c r="F25" s="9">
        <f>ROUND(E25*0.04,2)+0.01</f>
        <v>59516.01</v>
      </c>
      <c r="G25" s="9">
        <f t="shared" ref="G25" si="248">ROUND(E25*0,2)</f>
        <v>0</v>
      </c>
      <c r="H25" s="9">
        <f t="shared" ref="H25" si="249">E25-F25-G25</f>
        <v>1428384.0999999994</v>
      </c>
      <c r="I25" s="9">
        <f t="shared" ref="I25" si="250">ROUND(H25*0,2)</f>
        <v>0</v>
      </c>
      <c r="J25" s="9">
        <f t="shared" ref="J25" si="251">ROUND((I25*0.58)+((I25*0.42)*0.1),2)</f>
        <v>0</v>
      </c>
      <c r="K25" s="9">
        <f t="shared" ref="K25" si="252">ROUND((I25*0.42)*0.9,2)</f>
        <v>0</v>
      </c>
      <c r="L25" s="66">
        <f t="shared" ref="L25" si="253">IF(J25+K25=I25,H25-I25,"ERROR")</f>
        <v>1428384.0999999994</v>
      </c>
      <c r="M25" s="9">
        <f t="shared" ref="M25" si="254">ROUND(L25*0.465,2)</f>
        <v>664198.61</v>
      </c>
      <c r="N25" s="9">
        <f>ROUND(L25*0.3,2)</f>
        <v>428515.23</v>
      </c>
      <c r="O25" s="9">
        <f>ROUND(L25*0.1285,2)</f>
        <v>183547.36</v>
      </c>
      <c r="P25" s="9">
        <f t="shared" ref="P25" si="255">ROUND((L25*0.07)*0.9,2)</f>
        <v>89988.2</v>
      </c>
      <c r="Q25" s="9">
        <f>ROUND(L25*0.01,2)</f>
        <v>14283.84</v>
      </c>
      <c r="R25" s="9">
        <f t="shared" ref="R25" si="256">ROUND((L25*0.0075)*0.9,2)</f>
        <v>9641.59</v>
      </c>
      <c r="S25" s="9">
        <f t="shared" ref="S25" si="257">ROUND((L25*0.0075)*0.9,2)</f>
        <v>9641.59</v>
      </c>
      <c r="T25" s="9">
        <f>ROUND(L25*0.02,2)</f>
        <v>28567.68</v>
      </c>
      <c r="U25" s="9">
        <f t="shared" ref="U25" si="258">ROUND(L25*0,2)</f>
        <v>0</v>
      </c>
      <c r="V25" s="40">
        <f t="shared" ref="V25" si="259">E25/W25</f>
        <v>1375.1387338262471</v>
      </c>
      <c r="W25" s="10">
        <v>1082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44520</v>
      </c>
      <c r="B26" s="9">
        <v>16085325.619999999</v>
      </c>
      <c r="C26" s="9">
        <v>14418949.500000002</v>
      </c>
      <c r="D26" s="9">
        <v>189860</v>
      </c>
      <c r="E26" s="9">
        <f t="shared" ref="E26" si="260">B26-C26-D26</f>
        <v>1476516.1199999973</v>
      </c>
      <c r="F26" s="9">
        <f>ROUND(E26*0.04,2)</f>
        <v>59060.639999999999</v>
      </c>
      <c r="G26" s="9">
        <f t="shared" ref="G26" si="261">ROUND(E26*0,2)</f>
        <v>0</v>
      </c>
      <c r="H26" s="9">
        <f t="shared" ref="H26" si="262">E26-F26-G26</f>
        <v>1417455.4799999974</v>
      </c>
      <c r="I26" s="9">
        <f t="shared" ref="I26" si="263">ROUND(H26*0,2)</f>
        <v>0</v>
      </c>
      <c r="J26" s="9">
        <f t="shared" ref="J26" si="264">ROUND((I26*0.58)+((I26*0.42)*0.1),2)</f>
        <v>0</v>
      </c>
      <c r="K26" s="9">
        <f t="shared" ref="K26" si="265">ROUND((I26*0.42)*0.9,2)</f>
        <v>0</v>
      </c>
      <c r="L26" s="66">
        <f t="shared" ref="L26" si="266">IF(J26+K26=I26,H26-I26,"ERROR")</f>
        <v>1417455.4799999974</v>
      </c>
      <c r="M26" s="9">
        <f t="shared" ref="M26" si="267">ROUND(L26*0.465,2)</f>
        <v>659116.80000000005</v>
      </c>
      <c r="N26" s="9">
        <f>ROUND(L26*0.3,2)-0.03</f>
        <v>425236.61</v>
      </c>
      <c r="O26" s="9">
        <f>ROUND(L26*0.1285,2)+0.02</f>
        <v>182143.05</v>
      </c>
      <c r="P26" s="9">
        <f t="shared" ref="P26" si="268">ROUND((L26*0.07)*0.9,2)</f>
        <v>89299.7</v>
      </c>
      <c r="Q26" s="9">
        <f>ROUND(L26*0.01,2)+0.01</f>
        <v>14174.56</v>
      </c>
      <c r="R26" s="9">
        <f t="shared" ref="R26" si="269">ROUND((L26*0.0075)*0.9,2)</f>
        <v>9567.82</v>
      </c>
      <c r="S26" s="9">
        <f t="shared" ref="S26" si="270">ROUND((L26*0.0075)*0.9,2)</f>
        <v>9567.82</v>
      </c>
      <c r="T26" s="9">
        <f>ROUND(L26*0.02,2)+0.01</f>
        <v>28349.119999999999</v>
      </c>
      <c r="U26" s="9">
        <f t="shared" ref="U26" si="271">ROUND(L26*0,2)</f>
        <v>0</v>
      </c>
      <c r="V26" s="40">
        <f t="shared" ref="V26" si="272">E26/W26</f>
        <v>1373.503367441858</v>
      </c>
      <c r="W26" s="10">
        <v>1075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44527</v>
      </c>
      <c r="B27" s="9">
        <v>16664832.24</v>
      </c>
      <c r="C27" s="9">
        <v>14946610.57</v>
      </c>
      <c r="D27" s="9">
        <v>185328</v>
      </c>
      <c r="E27" s="9">
        <f t="shared" ref="E27" si="273">B27-C27-D27</f>
        <v>1532893.67</v>
      </c>
      <c r="F27" s="9">
        <f>ROUND(E27*0.04,2)-0.01</f>
        <v>61315.74</v>
      </c>
      <c r="G27" s="9">
        <f t="shared" ref="G27" si="274">ROUND(E27*0,2)</f>
        <v>0</v>
      </c>
      <c r="H27" s="9">
        <f t="shared" ref="H27" si="275">E27-F27-G27</f>
        <v>1471577.93</v>
      </c>
      <c r="I27" s="9">
        <f t="shared" ref="I27" si="276">ROUND(H27*0,2)</f>
        <v>0</v>
      </c>
      <c r="J27" s="9">
        <f t="shared" ref="J27" si="277">ROUND((I27*0.58)+((I27*0.42)*0.1),2)</f>
        <v>0</v>
      </c>
      <c r="K27" s="9">
        <f t="shared" ref="K27" si="278">ROUND((I27*0.42)*0.9,2)</f>
        <v>0</v>
      </c>
      <c r="L27" s="66">
        <f t="shared" ref="L27" si="279">IF(J27+K27=I27,H27-I27,"ERROR")</f>
        <v>1471577.93</v>
      </c>
      <c r="M27" s="9">
        <f t="shared" ref="M27" si="280">ROUND(L27*0.465,2)</f>
        <v>684283.74</v>
      </c>
      <c r="N27" s="9">
        <f>ROUND(L27*0.3,2)-0.02</f>
        <v>441473.36</v>
      </c>
      <c r="O27" s="9">
        <f>ROUND(L27*0.1285,2)+0.02</f>
        <v>189097.78</v>
      </c>
      <c r="P27" s="9">
        <f t="shared" ref="P27" si="281">ROUND((L27*0.07)*0.9,2)</f>
        <v>92709.41</v>
      </c>
      <c r="Q27" s="9">
        <f>ROUND(L27*0.01,2)</f>
        <v>14715.78</v>
      </c>
      <c r="R27" s="9">
        <f t="shared" ref="R27" si="282">ROUND((L27*0.0075)*0.9,2)</f>
        <v>9933.15</v>
      </c>
      <c r="S27" s="9">
        <f t="shared" ref="S27" si="283">ROUND((L27*0.0075)*0.9,2)</f>
        <v>9933.15</v>
      </c>
      <c r="T27" s="9">
        <f>ROUND(L27*0.02,2)</f>
        <v>29431.56</v>
      </c>
      <c r="U27" s="9">
        <f t="shared" ref="U27" si="284">ROUND(L27*0,2)</f>
        <v>0</v>
      </c>
      <c r="V27" s="40">
        <f t="shared" ref="V27" si="285">E27/W27</f>
        <v>1421.9792857142857</v>
      </c>
      <c r="W27" s="10">
        <v>1078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44534</v>
      </c>
      <c r="B28" s="9">
        <v>15143779.34</v>
      </c>
      <c r="C28" s="9">
        <v>13628342.239999998</v>
      </c>
      <c r="D28" s="9">
        <v>205753</v>
      </c>
      <c r="E28" s="9">
        <f t="shared" ref="E28" si="286">B28-C28-D28</f>
        <v>1309684.1000000015</v>
      </c>
      <c r="F28" s="9">
        <f>ROUND(E28*0.04,2)</f>
        <v>52387.360000000001</v>
      </c>
      <c r="G28" s="9">
        <f t="shared" ref="G28" si="287">ROUND(E28*0,2)</f>
        <v>0</v>
      </c>
      <c r="H28" s="9">
        <f t="shared" ref="H28" si="288">E28-F28-G28</f>
        <v>1257296.7400000014</v>
      </c>
      <c r="I28" s="9">
        <f t="shared" ref="I28" si="289">ROUND(H28*0,2)</f>
        <v>0</v>
      </c>
      <c r="J28" s="9">
        <f t="shared" ref="J28" si="290">ROUND((I28*0.58)+((I28*0.42)*0.1),2)</f>
        <v>0</v>
      </c>
      <c r="K28" s="9">
        <f t="shared" ref="K28" si="291">ROUND((I28*0.42)*0.9,2)</f>
        <v>0</v>
      </c>
      <c r="L28" s="66">
        <f t="shared" ref="L28" si="292">IF(J28+K28=I28,H28-I28,"ERROR")</f>
        <v>1257296.7400000014</v>
      </c>
      <c r="M28" s="9">
        <f t="shared" ref="M28" si="293">ROUND(L28*0.465,2)</f>
        <v>584642.98</v>
      </c>
      <c r="N28" s="9">
        <f>ROUND(L28*0.3,2)+0.04</f>
        <v>377189.06</v>
      </c>
      <c r="O28" s="9">
        <f>ROUND(L28*0.1285,2)</f>
        <v>161562.63</v>
      </c>
      <c r="P28" s="9">
        <f t="shared" ref="P28" si="294">ROUND((L28*0.07)*0.9,2)</f>
        <v>79209.69</v>
      </c>
      <c r="Q28" s="9">
        <f>ROUND(L28*0.01,2)-0.01</f>
        <v>12572.96</v>
      </c>
      <c r="R28" s="9">
        <f t="shared" ref="R28" si="295">ROUND((L28*0.0075)*0.9,2)</f>
        <v>8486.75</v>
      </c>
      <c r="S28" s="9">
        <f t="shared" ref="S28" si="296">ROUND((L28*0.0075)*0.9,2)</f>
        <v>8486.75</v>
      </c>
      <c r="T28" s="9">
        <f>ROUND(L28*0.02,2)-0.01</f>
        <v>25145.920000000002</v>
      </c>
      <c r="U28" s="9">
        <f t="shared" ref="U28" si="297">ROUND(L28*0,2)</f>
        <v>0</v>
      </c>
      <c r="V28" s="40">
        <f t="shared" ref="V28" si="298">E28/W28</f>
        <v>1208.1956642066434</v>
      </c>
      <c r="W28" s="10">
        <v>1084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44541</v>
      </c>
      <c r="B29" s="9">
        <v>16068846.18</v>
      </c>
      <c r="C29" s="9">
        <v>14465261.08</v>
      </c>
      <c r="D29" s="9">
        <v>242336</v>
      </c>
      <c r="E29" s="9">
        <f t="shared" ref="E29" si="299">B29-C29-D29</f>
        <v>1361249.0999999996</v>
      </c>
      <c r="F29" s="9">
        <f>ROUND(E29*0.04,2)+0.01</f>
        <v>54449.97</v>
      </c>
      <c r="G29" s="9">
        <f t="shared" ref="G29" si="300">ROUND(E29*0,2)</f>
        <v>0</v>
      </c>
      <c r="H29" s="9">
        <f t="shared" ref="H29" si="301">E29-F29-G29</f>
        <v>1306799.1299999997</v>
      </c>
      <c r="I29" s="9">
        <f t="shared" ref="I29" si="302">ROUND(H29*0,2)</f>
        <v>0</v>
      </c>
      <c r="J29" s="9">
        <f t="shared" ref="J29" si="303">ROUND((I29*0.58)+((I29*0.42)*0.1),2)</f>
        <v>0</v>
      </c>
      <c r="K29" s="9">
        <f t="shared" ref="K29" si="304">ROUND((I29*0.42)*0.9,2)</f>
        <v>0</v>
      </c>
      <c r="L29" s="66">
        <f t="shared" ref="L29" si="305">IF(J29+K29=I29,H29-I29,"ERROR")</f>
        <v>1306799.1299999997</v>
      </c>
      <c r="M29" s="9">
        <f t="shared" ref="M29" si="306">ROUND(L29*0.465,2)</f>
        <v>607661.6</v>
      </c>
      <c r="N29" s="9">
        <f>ROUND(L29*0.3,2)-0.05</f>
        <v>392039.69</v>
      </c>
      <c r="O29" s="9">
        <f>ROUND(L29*0.1285,2)+0.02</f>
        <v>167923.71</v>
      </c>
      <c r="P29" s="9">
        <f t="shared" ref="P29" si="307">ROUND((L29*0.07)*0.9,2)</f>
        <v>82328.350000000006</v>
      </c>
      <c r="Q29" s="9">
        <f>ROUND(L29*0.01,2)+0.01</f>
        <v>13068</v>
      </c>
      <c r="R29" s="9">
        <f t="shared" ref="R29" si="308">ROUND((L29*0.0075)*0.9,2)</f>
        <v>8820.89</v>
      </c>
      <c r="S29" s="9">
        <f t="shared" ref="S29" si="309">ROUND((L29*0.0075)*0.9,2)</f>
        <v>8820.89</v>
      </c>
      <c r="T29" s="9">
        <f>ROUND(L29*0.02,2)+0.02</f>
        <v>26136</v>
      </c>
      <c r="U29" s="9">
        <f t="shared" ref="U29" si="310">ROUND(L29*0,2)</f>
        <v>0</v>
      </c>
      <c r="V29" s="40">
        <f t="shared" ref="V29" si="311">E29/W29</f>
        <v>1255.7648523985235</v>
      </c>
      <c r="W29" s="10">
        <v>1084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44548</v>
      </c>
      <c r="B30" s="9">
        <v>16257472.149999999</v>
      </c>
      <c r="C30" s="9">
        <v>14588603.52</v>
      </c>
      <c r="D30" s="9">
        <v>270592</v>
      </c>
      <c r="E30" s="9">
        <f t="shared" ref="E30" si="312">B30-C30-D30</f>
        <v>1398276.629999999</v>
      </c>
      <c r="F30" s="9">
        <f>ROUND(E30*0.04,2)</f>
        <v>55931.07</v>
      </c>
      <c r="G30" s="9">
        <f t="shared" ref="G30" si="313">ROUND(E30*0,2)</f>
        <v>0</v>
      </c>
      <c r="H30" s="9">
        <f t="shared" ref="H30" si="314">E30-F30-G30</f>
        <v>1342345.5599999989</v>
      </c>
      <c r="I30" s="9">
        <f t="shared" ref="I30" si="315">ROUND(H30*0,2)</f>
        <v>0</v>
      </c>
      <c r="J30" s="9">
        <f t="shared" ref="J30" si="316">ROUND((I30*0.58)+((I30*0.42)*0.1),2)</f>
        <v>0</v>
      </c>
      <c r="K30" s="9">
        <f t="shared" ref="K30" si="317">ROUND((I30*0.42)*0.9,2)</f>
        <v>0</v>
      </c>
      <c r="L30" s="66">
        <f t="shared" ref="L30" si="318">IF(J30+K30=I30,H30-I30,"ERROR")</f>
        <v>1342345.5599999989</v>
      </c>
      <c r="M30" s="9">
        <f t="shared" ref="M30" si="319">ROUND(L30*0.465,2)</f>
        <v>624190.68999999994</v>
      </c>
      <c r="N30" s="9">
        <f>ROUND(L30*0.3,2)-0.04</f>
        <v>402703.63</v>
      </c>
      <c r="O30" s="9">
        <f>ROUND(L30*0.1285,2)+0.03</f>
        <v>172491.43</v>
      </c>
      <c r="P30" s="9">
        <f t="shared" ref="P30" si="320">ROUND((L30*0.07)*0.9,2)</f>
        <v>84567.77</v>
      </c>
      <c r="Q30" s="9">
        <f>ROUND(L30*0.01,2)</f>
        <v>13423.46</v>
      </c>
      <c r="R30" s="9">
        <f t="shared" ref="R30" si="321">ROUND((L30*0.0075)*0.9,2)</f>
        <v>9060.83</v>
      </c>
      <c r="S30" s="9">
        <f t="shared" ref="S30" si="322">ROUND((L30*0.0075)*0.9,2)</f>
        <v>9060.83</v>
      </c>
      <c r="T30" s="9">
        <f>ROUND(L30*0.02,2)+0.01</f>
        <v>26846.92</v>
      </c>
      <c r="U30" s="9">
        <f t="shared" ref="U30" si="323">ROUND(L30*0,2)</f>
        <v>0</v>
      </c>
      <c r="V30" s="40">
        <f t="shared" ref="V30" si="324">E30/W30</f>
        <v>1289.9230904059032</v>
      </c>
      <c r="W30" s="10">
        <v>1084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44555</v>
      </c>
      <c r="B31" s="9">
        <v>15109684.559999999</v>
      </c>
      <c r="C31" s="9">
        <v>13524933.569999998</v>
      </c>
      <c r="D31" s="9">
        <v>247325</v>
      </c>
      <c r="E31" s="9">
        <f t="shared" ref="E31" si="325">B31-C31-D31</f>
        <v>1337425.9900000002</v>
      </c>
      <c r="F31" s="9">
        <f>ROUND(E31*0.04,2)</f>
        <v>53497.04</v>
      </c>
      <c r="G31" s="9">
        <f t="shared" ref="G31" si="326">ROUND(E31*0,2)</f>
        <v>0</v>
      </c>
      <c r="H31" s="9">
        <f t="shared" ref="H31" si="327">E31-F31-G31</f>
        <v>1283928.9500000002</v>
      </c>
      <c r="I31" s="9">
        <f t="shared" ref="I31" si="328">ROUND(H31*0,2)</f>
        <v>0</v>
      </c>
      <c r="J31" s="9">
        <f t="shared" ref="J31" si="329">ROUND((I31*0.58)+((I31*0.42)*0.1),2)</f>
        <v>0</v>
      </c>
      <c r="K31" s="9">
        <f t="shared" ref="K31" si="330">ROUND((I31*0.42)*0.9,2)</f>
        <v>0</v>
      </c>
      <c r="L31" s="66">
        <f t="shared" ref="L31" si="331">IF(J31+K31=I31,H31-I31,"ERROR")</f>
        <v>1283928.9500000002</v>
      </c>
      <c r="M31" s="9">
        <f t="shared" ref="M31" si="332">ROUND(L31*0.465,2)</f>
        <v>597026.96</v>
      </c>
      <c r="N31" s="9">
        <f>ROUND(L31*0.3,2)+0.04</f>
        <v>385178.73</v>
      </c>
      <c r="O31" s="9">
        <f>ROUND(L31*0.1285,2)-0.01</f>
        <v>164984.85999999999</v>
      </c>
      <c r="P31" s="9">
        <f t="shared" ref="P31" si="333">ROUND((L31*0.07)*0.9,2)</f>
        <v>80887.520000000004</v>
      </c>
      <c r="Q31" s="9">
        <f>ROUND(L31*0.01,2)-0.01</f>
        <v>12839.28</v>
      </c>
      <c r="R31" s="9">
        <f t="shared" ref="R31" si="334">ROUND((L31*0.0075)*0.9,2)</f>
        <v>8666.52</v>
      </c>
      <c r="S31" s="9">
        <f t="shared" ref="S31" si="335">ROUND((L31*0.0075)*0.9,2)</f>
        <v>8666.52</v>
      </c>
      <c r="T31" s="9">
        <f>ROUND(L31*0.02,2)-0.02</f>
        <v>25678.560000000001</v>
      </c>
      <c r="U31" s="9">
        <f t="shared" ref="U31" si="336">ROUND(L31*0,2)</f>
        <v>0</v>
      </c>
      <c r="V31" s="40">
        <f t="shared" ref="V31" si="337">E31/W31</f>
        <v>1233.7878136531367</v>
      </c>
      <c r="W31" s="10">
        <v>1084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44562</v>
      </c>
      <c r="B32" s="9">
        <v>24326528.119999997</v>
      </c>
      <c r="C32" s="9">
        <v>21913700.920000002</v>
      </c>
      <c r="D32" s="9">
        <v>331715</v>
      </c>
      <c r="E32" s="9">
        <f t="shared" ref="E32" si="338">B32-C32-D32</f>
        <v>2081112.1999999955</v>
      </c>
      <c r="F32" s="9">
        <f>ROUND(E32*0.04,2)-0.01</f>
        <v>83244.48000000001</v>
      </c>
      <c r="G32" s="9">
        <f t="shared" ref="G32" si="339">ROUND(E32*0,2)</f>
        <v>0</v>
      </c>
      <c r="H32" s="9">
        <f t="shared" ref="H32" si="340">E32-F32-G32</f>
        <v>1997867.7199999955</v>
      </c>
      <c r="I32" s="9">
        <f t="shared" ref="I32" si="341">ROUND(H32*0,2)</f>
        <v>0</v>
      </c>
      <c r="J32" s="9">
        <f t="shared" ref="J32" si="342">ROUND((I32*0.58)+((I32*0.42)*0.1),2)</f>
        <v>0</v>
      </c>
      <c r="K32" s="9">
        <f t="shared" ref="K32" si="343">ROUND((I32*0.42)*0.9,2)</f>
        <v>0</v>
      </c>
      <c r="L32" s="66">
        <f t="shared" ref="L32" si="344">IF(J32+K32=I32,H32-I32,"ERROR")</f>
        <v>1997867.7199999955</v>
      </c>
      <c r="M32" s="9">
        <f t="shared" ref="M32" si="345">ROUND(L32*0.465,2)</f>
        <v>929008.49</v>
      </c>
      <c r="N32" s="9">
        <f>ROUND(L32*0.3,2)-0.02</f>
        <v>599360.29999999993</v>
      </c>
      <c r="O32" s="9">
        <f>ROUND(L32*0.1285,2)</f>
        <v>256726</v>
      </c>
      <c r="P32" s="9">
        <f t="shared" ref="P32" si="346">ROUND((L32*0.07)*0.9,2)</f>
        <v>125865.67</v>
      </c>
      <c r="Q32" s="9">
        <f>ROUND(L32*0.01,2)</f>
        <v>19978.68</v>
      </c>
      <c r="R32" s="9">
        <f t="shared" ref="R32" si="347">ROUND((L32*0.0075)*0.9,2)</f>
        <v>13485.61</v>
      </c>
      <c r="S32" s="9">
        <f t="shared" ref="S32" si="348">ROUND((L32*0.0075)*0.9,2)</f>
        <v>13485.61</v>
      </c>
      <c r="T32" s="9">
        <f>ROUND(L32*0.02,2)+0.01</f>
        <v>39957.360000000001</v>
      </c>
      <c r="U32" s="9">
        <f t="shared" ref="U32" si="349">ROUND(L32*0,2)</f>
        <v>0</v>
      </c>
      <c r="V32" s="40">
        <f t="shared" ref="V32" si="350">E32/W32</f>
        <v>1891.9201818181778</v>
      </c>
      <c r="W32" s="10">
        <v>1100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44569</v>
      </c>
      <c r="B33" s="9">
        <v>14858357.060000001</v>
      </c>
      <c r="C33" s="9">
        <v>13283372.079999998</v>
      </c>
      <c r="D33" s="9">
        <v>251323</v>
      </c>
      <c r="E33" s="9">
        <f t="shared" ref="E33" si="351">B33-C33-D33</f>
        <v>1323661.9800000023</v>
      </c>
      <c r="F33" s="9">
        <f>ROUND(E33*0.04,2)</f>
        <v>52946.48</v>
      </c>
      <c r="G33" s="9">
        <f t="shared" ref="G33" si="352">ROUND(E33*0,2)</f>
        <v>0</v>
      </c>
      <c r="H33" s="9">
        <f t="shared" ref="H33" si="353">E33-F33-G33</f>
        <v>1270715.5000000023</v>
      </c>
      <c r="I33" s="9">
        <f t="shared" ref="I33" si="354">ROUND(H33*0,2)</f>
        <v>0</v>
      </c>
      <c r="J33" s="9">
        <f t="shared" ref="J33" si="355">ROUND((I33*0.58)+((I33*0.42)*0.1),2)</f>
        <v>0</v>
      </c>
      <c r="K33" s="9">
        <f t="shared" ref="K33" si="356">ROUND((I33*0.42)*0.9,2)</f>
        <v>0</v>
      </c>
      <c r="L33" s="66">
        <f t="shared" ref="L33" si="357">IF(J33+K33=I33,H33-I33,"ERROR")</f>
        <v>1270715.5000000023</v>
      </c>
      <c r="M33" s="9">
        <f t="shared" ref="M33" si="358">ROUND(L33*0.465,2)</f>
        <v>590882.71</v>
      </c>
      <c r="N33" s="9">
        <f>ROUND(L33*0.3,2)-0.05</f>
        <v>381214.60000000003</v>
      </c>
      <c r="O33" s="9">
        <f>ROUND(L33*0.1285,2)+0.03</f>
        <v>163286.97</v>
      </c>
      <c r="P33" s="9">
        <f t="shared" ref="P33" si="359">ROUND((L33*0.07)*0.9,2)</f>
        <v>80055.08</v>
      </c>
      <c r="Q33" s="9">
        <f>ROUND(L33*0.01,2)</f>
        <v>12707.16</v>
      </c>
      <c r="R33" s="9">
        <f t="shared" ref="R33" si="360">ROUND((L33*0.0075)*0.9,2)</f>
        <v>8577.33</v>
      </c>
      <c r="S33" s="9">
        <f t="shared" ref="S33" si="361">ROUND((L33*0.0075)*0.9,2)</f>
        <v>8577.33</v>
      </c>
      <c r="T33" s="9">
        <v>18730.68</v>
      </c>
      <c r="U33" s="9">
        <v>6683.64</v>
      </c>
      <c r="V33" s="40">
        <f t="shared" ref="V33" si="362">E33/W33</f>
        <v>1380.252325338897</v>
      </c>
      <c r="W33" s="10">
        <v>959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44576</v>
      </c>
      <c r="B34" s="9">
        <v>15514986.960000001</v>
      </c>
      <c r="C34" s="9">
        <v>13891325.34</v>
      </c>
      <c r="D34" s="9">
        <v>270952</v>
      </c>
      <c r="E34" s="9">
        <f t="shared" ref="E34" si="363">B34-C34-D34</f>
        <v>1352709.620000001</v>
      </c>
      <c r="F34" s="9">
        <f>ROUND(E34*0.04,2)</f>
        <v>54108.38</v>
      </c>
      <c r="G34" s="9">
        <f t="shared" ref="G34" si="364">ROUND(E34*0,2)</f>
        <v>0</v>
      </c>
      <c r="H34" s="9">
        <f t="shared" ref="H34" si="365">E34-F34-G34</f>
        <v>1298601.2400000012</v>
      </c>
      <c r="I34" s="9">
        <f t="shared" ref="I34" si="366">ROUND(H34*0,2)</f>
        <v>0</v>
      </c>
      <c r="J34" s="9">
        <f t="shared" ref="J34" si="367">ROUND((I34*0.58)+((I34*0.42)*0.1),2)</f>
        <v>0</v>
      </c>
      <c r="K34" s="9">
        <f t="shared" ref="K34" si="368">ROUND((I34*0.42)*0.9,2)</f>
        <v>0</v>
      </c>
      <c r="L34" s="66">
        <f t="shared" ref="L34" si="369">IF(J34+K34=I34,H34-I34,"ERROR")</f>
        <v>1298601.2400000012</v>
      </c>
      <c r="M34" s="9">
        <f t="shared" ref="M34" si="370">ROUND(L34*0.465,2)</f>
        <v>603849.57999999996</v>
      </c>
      <c r="N34" s="9">
        <f>ROUND(L34*0.3,2)-0.05</f>
        <v>389580.32</v>
      </c>
      <c r="O34" s="9">
        <f>ROUND(L34*0.1285,2)+0.02</f>
        <v>166870.28</v>
      </c>
      <c r="P34" s="9">
        <f t="shared" ref="P34" si="371">ROUND((L34*0.07)*0.9,2)</f>
        <v>81811.88</v>
      </c>
      <c r="Q34" s="9">
        <f>ROUND(L34*0.01,2)+0.01</f>
        <v>12986.02</v>
      </c>
      <c r="R34" s="9">
        <f t="shared" ref="R34" si="372">ROUND((L34*0.0075)*0.9,2)</f>
        <v>8765.56</v>
      </c>
      <c r="S34" s="9">
        <f t="shared" ref="S34" si="373">ROUND((L34*0.0075)*0.9,2)</f>
        <v>8765.56</v>
      </c>
      <c r="T34" s="9">
        <v>12986.02</v>
      </c>
      <c r="U34" s="9">
        <v>12986.02</v>
      </c>
      <c r="V34" s="40">
        <f t="shared" ref="V34" si="374">E34/W34</f>
        <v>1473.5398910675392</v>
      </c>
      <c r="W34" s="10">
        <v>918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44583</v>
      </c>
      <c r="B35" s="9">
        <v>12925042.91</v>
      </c>
      <c r="C35" s="9">
        <v>11553108.43</v>
      </c>
      <c r="D35" s="9">
        <v>222452</v>
      </c>
      <c r="E35" s="9">
        <f t="shared" ref="E35" si="375">B35-C35-D35</f>
        <v>1149482.4800000004</v>
      </c>
      <c r="F35" s="9">
        <f>ROUND(E35*0.04,2)</f>
        <v>45979.3</v>
      </c>
      <c r="G35" s="9">
        <f t="shared" ref="G35" si="376">ROUND(E35*0,2)</f>
        <v>0</v>
      </c>
      <c r="H35" s="9">
        <f t="shared" ref="H35" si="377">E35-F35-G35</f>
        <v>1103503.1800000004</v>
      </c>
      <c r="I35" s="9">
        <f t="shared" ref="I35" si="378">ROUND(H35*0,2)</f>
        <v>0</v>
      </c>
      <c r="J35" s="9">
        <f t="shared" ref="J35" si="379">ROUND((I35*0.58)+((I35*0.42)*0.1),2)</f>
        <v>0</v>
      </c>
      <c r="K35" s="9">
        <f t="shared" ref="K35" si="380">ROUND((I35*0.42)*0.9,2)</f>
        <v>0</v>
      </c>
      <c r="L35" s="66">
        <f t="shared" ref="L35" si="381">IF(J35+K35=I35,H35-I35,"ERROR")</f>
        <v>1103503.1800000004</v>
      </c>
      <c r="M35" s="9">
        <f t="shared" ref="M35" si="382">ROUND(L35*0.465,2)</f>
        <v>513128.98</v>
      </c>
      <c r="N35" s="9">
        <f>ROUND(L35*0.3,2)-0.03</f>
        <v>331050.92</v>
      </c>
      <c r="O35" s="9">
        <f>ROUND(L35*0.1285,2)</f>
        <v>141800.16</v>
      </c>
      <c r="P35" s="9">
        <f t="shared" ref="P35" si="383">ROUND((L35*0.07)*0.9,2)</f>
        <v>69520.7</v>
      </c>
      <c r="Q35" s="9">
        <f>ROUND(L35*0.01,2)+0.01</f>
        <v>11035.04</v>
      </c>
      <c r="R35" s="9">
        <f t="shared" ref="R35" si="384">ROUND((L35*0.0075)*0.9,2)</f>
        <v>7448.65</v>
      </c>
      <c r="S35" s="9">
        <f t="shared" ref="S35" si="385">ROUND((L35*0.0075)*0.9,2)</f>
        <v>7448.65</v>
      </c>
      <c r="T35" s="9">
        <v>11035.04</v>
      </c>
      <c r="U35" s="9">
        <v>11035.04</v>
      </c>
      <c r="V35" s="40">
        <f t="shared" ref="V35" si="386">E35/W35</f>
        <v>1240.0026752966564</v>
      </c>
      <c r="W35" s="10">
        <v>927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44590</v>
      </c>
      <c r="B36" s="9">
        <v>15352566.18</v>
      </c>
      <c r="C36" s="9">
        <v>13799643.190000001</v>
      </c>
      <c r="D36" s="9">
        <v>259503</v>
      </c>
      <c r="E36" s="9">
        <f t="shared" ref="E36" si="387">B36-C36-D36</f>
        <v>1293419.9899999984</v>
      </c>
      <c r="F36" s="9">
        <f>ROUND(E36*0.04,2)-0.02</f>
        <v>51736.780000000006</v>
      </c>
      <c r="G36" s="9">
        <f t="shared" ref="G36" si="388">ROUND(E36*0,2)</f>
        <v>0</v>
      </c>
      <c r="H36" s="9">
        <f t="shared" ref="H36" si="389">E36-F36-G36</f>
        <v>1241683.2099999983</v>
      </c>
      <c r="I36" s="9">
        <f t="shared" ref="I36" si="390">ROUND(H36*0,2)</f>
        <v>0</v>
      </c>
      <c r="J36" s="9">
        <f t="shared" ref="J36" si="391">ROUND((I36*0.58)+((I36*0.42)*0.1),2)</f>
        <v>0</v>
      </c>
      <c r="K36" s="9">
        <f t="shared" ref="K36" si="392">ROUND((I36*0.42)*0.9,2)</f>
        <v>0</v>
      </c>
      <c r="L36" s="66">
        <f t="shared" ref="L36" si="393">IF(J36+K36=I36,H36-I36,"ERROR")</f>
        <v>1241683.2099999983</v>
      </c>
      <c r="M36" s="9">
        <f t="shared" ref="M36" si="394">ROUND(L36*0.465,2)</f>
        <v>577382.68999999994</v>
      </c>
      <c r="N36" s="9">
        <f>ROUND(L36*0.3,2)-0.01</f>
        <v>372504.95</v>
      </c>
      <c r="O36" s="9">
        <f>ROUND(L36*0.1285,2)</f>
        <v>159556.29</v>
      </c>
      <c r="P36" s="9">
        <f t="shared" ref="P36" si="395">ROUND((L36*0.07)*0.9,2)</f>
        <v>78226.039999999994</v>
      </c>
      <c r="Q36" s="9">
        <f>ROUND(L36*0.01,2)+0.01</f>
        <v>12416.84</v>
      </c>
      <c r="R36" s="9">
        <f t="shared" ref="R36" si="396">ROUND((L36*0.0075)*0.9,2)</f>
        <v>8381.36</v>
      </c>
      <c r="S36" s="9">
        <f t="shared" ref="S36" si="397">ROUND((L36*0.0075)*0.9,2)</f>
        <v>8381.36</v>
      </c>
      <c r="T36" s="9">
        <v>12416.84</v>
      </c>
      <c r="U36" s="9">
        <v>12416.84</v>
      </c>
      <c r="V36" s="40">
        <f t="shared" ref="V36" si="398">E36/W36</f>
        <v>1317.1282993890004</v>
      </c>
      <c r="W36" s="10">
        <v>982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44597</v>
      </c>
      <c r="B37" s="9">
        <v>13489158.73</v>
      </c>
      <c r="C37" s="9">
        <v>12271651.6</v>
      </c>
      <c r="D37" s="9">
        <v>208332</v>
      </c>
      <c r="E37" s="9">
        <f t="shared" ref="E37" si="399">B37-C37-D37</f>
        <v>1009175.1300000008</v>
      </c>
      <c r="F37" s="9">
        <f>ROUND(E37*0.04,2)</f>
        <v>40367.01</v>
      </c>
      <c r="G37" s="9">
        <f t="shared" ref="G37" si="400">ROUND(E37*0,2)</f>
        <v>0</v>
      </c>
      <c r="H37" s="9">
        <f t="shared" ref="H37" si="401">E37-F37-G37</f>
        <v>968808.12000000081</v>
      </c>
      <c r="I37" s="9">
        <f t="shared" ref="I37" si="402">ROUND(H37*0,2)</f>
        <v>0</v>
      </c>
      <c r="J37" s="9">
        <f t="shared" ref="J37" si="403">ROUND((I37*0.58)+((I37*0.42)*0.1),2)</f>
        <v>0</v>
      </c>
      <c r="K37" s="9">
        <f t="shared" ref="K37" si="404">ROUND((I37*0.42)*0.9,2)</f>
        <v>0</v>
      </c>
      <c r="L37" s="66">
        <f t="shared" ref="L37" si="405">IF(J37+K37=I37,H37-I37,"ERROR")</f>
        <v>968808.12000000081</v>
      </c>
      <c r="M37" s="9">
        <f t="shared" ref="M37" si="406">ROUND(L37*0.465,2)</f>
        <v>450495.78</v>
      </c>
      <c r="N37" s="9">
        <f>ROUND(L37*0.3,2)-0.01</f>
        <v>290642.43</v>
      </c>
      <c r="O37" s="9">
        <f>ROUND(L37*0.1285,2)+0.02</f>
        <v>124491.86</v>
      </c>
      <c r="P37" s="9">
        <f t="shared" ref="P37" si="407">ROUND((L37*0.07)*0.9,2)</f>
        <v>61034.91</v>
      </c>
      <c r="Q37" s="9">
        <f>ROUND(L37*0.01,2)</f>
        <v>9688.08</v>
      </c>
      <c r="R37" s="9">
        <f t="shared" ref="R37" si="408">ROUND((L37*0.0075)*0.9,2)</f>
        <v>6539.45</v>
      </c>
      <c r="S37" s="9">
        <f t="shared" ref="S37" si="409">ROUND((L37*0.0075)*0.9,2)</f>
        <v>6539.45</v>
      </c>
      <c r="T37" s="9">
        <v>9688.08</v>
      </c>
      <c r="U37" s="9">
        <v>9688.08</v>
      </c>
      <c r="V37" s="40">
        <f t="shared" ref="V37" si="410">E37/W37</f>
        <v>1012.2117652958885</v>
      </c>
      <c r="W37" s="10">
        <v>997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44604</v>
      </c>
      <c r="B38" s="9">
        <v>19894371.239999998</v>
      </c>
      <c r="C38" s="9">
        <v>17837741.379999999</v>
      </c>
      <c r="D38" s="9">
        <v>299014</v>
      </c>
      <c r="E38" s="9">
        <f t="shared" ref="E38" si="411">B38-C38-D38</f>
        <v>1757615.8599999994</v>
      </c>
      <c r="F38" s="9">
        <f>ROUND(E38*0.04,2)</f>
        <v>70304.63</v>
      </c>
      <c r="G38" s="9">
        <f t="shared" ref="G38" si="412">ROUND(E38*0,2)</f>
        <v>0</v>
      </c>
      <c r="H38" s="9">
        <f t="shared" ref="H38" si="413">E38-F38-G38</f>
        <v>1687311.2299999995</v>
      </c>
      <c r="I38" s="9">
        <f t="shared" ref="I38" si="414">ROUND(H38*0,2)</f>
        <v>0</v>
      </c>
      <c r="J38" s="9">
        <f t="shared" ref="J38" si="415">ROUND((I38*0.58)+((I38*0.42)*0.1),2)</f>
        <v>0</v>
      </c>
      <c r="K38" s="9">
        <f t="shared" ref="K38" si="416">ROUND((I38*0.42)*0.9,2)</f>
        <v>0</v>
      </c>
      <c r="L38" s="66">
        <f t="shared" ref="L38" si="417">IF(J38+K38=I38,H38-I38,"ERROR")</f>
        <v>1687311.2299999995</v>
      </c>
      <c r="M38" s="9">
        <f t="shared" ref="M38" si="418">ROUND(L38*0.465,2)</f>
        <v>784599.72</v>
      </c>
      <c r="N38" s="9">
        <f>ROUND(L38*0.3,2)-0.04</f>
        <v>506193.33</v>
      </c>
      <c r="O38" s="9">
        <f>ROUND(L38*0.1285,2)+0.02</f>
        <v>216819.50999999998</v>
      </c>
      <c r="P38" s="9">
        <f t="shared" ref="P38" si="419">ROUND((L38*0.07)*0.9,2)</f>
        <v>106300.61</v>
      </c>
      <c r="Q38" s="9">
        <f>ROUND(L38*0.01,2)+0.01</f>
        <v>16873.12</v>
      </c>
      <c r="R38" s="9">
        <f t="shared" ref="R38" si="420">ROUND((L38*0.0075)*0.9,2)</f>
        <v>11389.35</v>
      </c>
      <c r="S38" s="9">
        <f t="shared" ref="S38" si="421">ROUND((L38*0.0075)*0.9,2)</f>
        <v>11389.35</v>
      </c>
      <c r="T38" s="9">
        <v>16873.12</v>
      </c>
      <c r="U38" s="9">
        <v>16873.12</v>
      </c>
      <c r="V38" s="40">
        <f t="shared" ref="V38" si="422">E38/W38</f>
        <v>1716.4217382812494</v>
      </c>
      <c r="W38" s="10">
        <v>1024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44611</v>
      </c>
      <c r="B39" s="9">
        <v>19549590.18</v>
      </c>
      <c r="C39" s="9">
        <v>17645391.969999999</v>
      </c>
      <c r="D39" s="9">
        <v>266133</v>
      </c>
      <c r="E39" s="9">
        <f t="shared" ref="E39" si="423">B39-C39-D39</f>
        <v>1638065.2100000009</v>
      </c>
      <c r="F39" s="9">
        <f>ROUND(E39*0.04,2)</f>
        <v>65522.61</v>
      </c>
      <c r="G39" s="9">
        <f t="shared" ref="G39" si="424">ROUND(E39*0,2)</f>
        <v>0</v>
      </c>
      <c r="H39" s="9">
        <f t="shared" ref="H39" si="425">E39-F39-G39</f>
        <v>1572542.6000000008</v>
      </c>
      <c r="I39" s="9">
        <f t="shared" ref="I39" si="426">ROUND(H39*0,2)</f>
        <v>0</v>
      </c>
      <c r="J39" s="9">
        <f t="shared" ref="J39" si="427">ROUND((I39*0.58)+((I39*0.42)*0.1),2)</f>
        <v>0</v>
      </c>
      <c r="K39" s="9">
        <f t="shared" ref="K39" si="428">ROUND((I39*0.42)*0.9,2)</f>
        <v>0</v>
      </c>
      <c r="L39" s="66">
        <f t="shared" ref="L39" si="429">IF(J39+K39=I39,H39-I39,"ERROR")</f>
        <v>1572542.6000000008</v>
      </c>
      <c r="M39" s="9">
        <f t="shared" ref="M39" si="430">ROUND(L39*0.465,2)</f>
        <v>731232.31</v>
      </c>
      <c r="N39" s="9">
        <f>ROUND(L39*0.3,2)+0.04</f>
        <v>471762.82</v>
      </c>
      <c r="O39" s="9">
        <f>ROUND(L39*0.1285,2)-0.01</f>
        <v>202071.71</v>
      </c>
      <c r="P39" s="9">
        <f t="shared" ref="P39" si="431">ROUND((L39*0.07)*0.9,2)</f>
        <v>99070.18</v>
      </c>
      <c r="Q39" s="9">
        <f>ROUND(L39*0.01,2)-0.01</f>
        <v>15725.42</v>
      </c>
      <c r="R39" s="9">
        <f t="shared" ref="R39" si="432">ROUND((L39*0.0075)*0.9,2)</f>
        <v>10614.66</v>
      </c>
      <c r="S39" s="9">
        <f t="shared" ref="S39" si="433">ROUND((L39*0.0075)*0.9,2)</f>
        <v>10614.66</v>
      </c>
      <c r="T39" s="9">
        <v>15725.42</v>
      </c>
      <c r="U39" s="9">
        <v>15725.42</v>
      </c>
      <c r="V39" s="40">
        <f t="shared" ref="V39" si="434">E39/W39</f>
        <v>1744.4783919062843</v>
      </c>
      <c r="W39" s="10">
        <v>939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44618</v>
      </c>
      <c r="B40" s="9">
        <v>20628172.239999998</v>
      </c>
      <c r="C40" s="9">
        <v>18450447.73</v>
      </c>
      <c r="D40" s="9">
        <v>307701</v>
      </c>
      <c r="E40" s="9">
        <f t="shared" ref="E40" si="435">B40-C40-D40</f>
        <v>1870023.5099999979</v>
      </c>
      <c r="F40" s="9">
        <f>ROUND(E40*0.04,2)+0.01</f>
        <v>74800.95</v>
      </c>
      <c r="G40" s="9">
        <f t="shared" ref="G40" si="436">ROUND(E40*0,2)</f>
        <v>0</v>
      </c>
      <c r="H40" s="9">
        <f t="shared" ref="H40" si="437">E40-F40-G40</f>
        <v>1795222.559999998</v>
      </c>
      <c r="I40" s="9">
        <f t="shared" ref="I40" si="438">ROUND(H40*0,2)</f>
        <v>0</v>
      </c>
      <c r="J40" s="9">
        <f t="shared" ref="J40" si="439">ROUND((I40*0.58)+((I40*0.42)*0.1),2)</f>
        <v>0</v>
      </c>
      <c r="K40" s="9">
        <f t="shared" ref="K40" si="440">ROUND((I40*0.42)*0.9,2)</f>
        <v>0</v>
      </c>
      <c r="L40" s="66">
        <f t="shared" ref="L40" si="441">IF(J40+K40=I40,H40-I40,"ERROR")</f>
        <v>1795222.559999998</v>
      </c>
      <c r="M40" s="9">
        <f t="shared" ref="M40" si="442">ROUND(L40*0.465,2)</f>
        <v>834778.49</v>
      </c>
      <c r="N40" s="9">
        <f>ROUND(L40*0.3,2)+0.03</f>
        <v>538566.80000000005</v>
      </c>
      <c r="O40" s="9">
        <f>ROUND(L40*0.1285,2)-0.01</f>
        <v>230686.09</v>
      </c>
      <c r="P40" s="9">
        <f t="shared" ref="P40" si="443">ROUND((L40*0.07)*0.9,2)</f>
        <v>113099.02</v>
      </c>
      <c r="Q40" s="9">
        <f>ROUND(L40*0.01,2)-0.01</f>
        <v>17952.22</v>
      </c>
      <c r="R40" s="9">
        <f t="shared" ref="R40" si="444">ROUND((L40*0.0075)*0.9,2)</f>
        <v>12117.75</v>
      </c>
      <c r="S40" s="9">
        <f t="shared" ref="S40" si="445">ROUND((L40*0.0075)*0.9,2)</f>
        <v>12117.75</v>
      </c>
      <c r="T40" s="9">
        <v>17952.22</v>
      </c>
      <c r="U40" s="9">
        <v>17952.22</v>
      </c>
      <c r="V40" s="40">
        <f t="shared" ref="V40" si="446">E40/W40</f>
        <v>2012.9424219590935</v>
      </c>
      <c r="W40" s="10">
        <v>929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Mountaineer!A41</f>
        <v>44625</v>
      </c>
      <c r="B41" s="9">
        <v>20304694.98</v>
      </c>
      <c r="C41" s="9">
        <v>18257383.989999998</v>
      </c>
      <c r="D41" s="9">
        <v>276470</v>
      </c>
      <c r="E41" s="9">
        <f t="shared" ref="E41" si="447">B41-C41-D41</f>
        <v>1770840.9900000021</v>
      </c>
      <c r="F41" s="9">
        <f>ROUND(E41*0.04,2)</f>
        <v>70833.64</v>
      </c>
      <c r="G41" s="9">
        <f t="shared" ref="G41" si="448">ROUND(E41*0,2)</f>
        <v>0</v>
      </c>
      <c r="H41" s="9">
        <f t="shared" ref="H41" si="449">E41-F41-G41</f>
        <v>1700007.3500000022</v>
      </c>
      <c r="I41" s="9">
        <f t="shared" ref="I41" si="450">ROUND(H41*0,2)</f>
        <v>0</v>
      </c>
      <c r="J41" s="9">
        <f t="shared" ref="J41" si="451">ROUND((I41*0.58)+((I41*0.42)*0.1),2)</f>
        <v>0</v>
      </c>
      <c r="K41" s="9">
        <f t="shared" ref="K41" si="452">ROUND((I41*0.42)*0.9,2)</f>
        <v>0</v>
      </c>
      <c r="L41" s="66">
        <f t="shared" ref="L41" si="453">IF(J41+K41=I41,H41-I41,"ERROR")</f>
        <v>1700007.3500000022</v>
      </c>
      <c r="M41" s="9">
        <f t="shared" ref="M41" si="454">ROUND(L41*0.465,2)</f>
        <v>790503.42</v>
      </c>
      <c r="N41" s="9">
        <f>ROUND(L41*0.3,2)-0.04</f>
        <v>510002.17000000004</v>
      </c>
      <c r="O41" s="9">
        <f>ROUND(L41*0.1285,2)+0.02</f>
        <v>218450.96</v>
      </c>
      <c r="P41" s="9">
        <f t="shared" ref="P41" si="455">ROUND((L41*0.07)*0.9,2)</f>
        <v>107100.46</v>
      </c>
      <c r="Q41" s="9">
        <f>ROUND(L41*0.01,2)+0.01</f>
        <v>17000.079999999998</v>
      </c>
      <c r="R41" s="9">
        <f t="shared" ref="R41" si="456">ROUND((L41*0.0075)*0.9,2)</f>
        <v>11475.05</v>
      </c>
      <c r="S41" s="9">
        <f t="shared" ref="S41" si="457">ROUND((L41*0.0075)*0.9,2)</f>
        <v>11475.05</v>
      </c>
      <c r="T41" s="9">
        <v>17000.080000000002</v>
      </c>
      <c r="U41" s="9">
        <v>17000.080000000002</v>
      </c>
      <c r="V41" s="40">
        <f t="shared" ref="V41" si="458">E41/W41</f>
        <v>1895.9753640256981</v>
      </c>
      <c r="W41" s="10">
        <v>934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Mountaineer!A42</f>
        <v>44632</v>
      </c>
      <c r="B42" s="9">
        <v>18051380.170000002</v>
      </c>
      <c r="C42" s="9">
        <v>16300334.15</v>
      </c>
      <c r="D42" s="9">
        <v>249711</v>
      </c>
      <c r="E42" s="9">
        <f t="shared" ref="E42" si="459">B42-C42-D42</f>
        <v>1501335.0200000014</v>
      </c>
      <c r="F42" s="9">
        <f>ROUND(E42*0.04,2)</f>
        <v>60053.4</v>
      </c>
      <c r="G42" s="9">
        <f t="shared" ref="G42" si="460">ROUND(E42*0,2)</f>
        <v>0</v>
      </c>
      <c r="H42" s="9">
        <f t="shared" ref="H42" si="461">E42-F42-G42</f>
        <v>1441281.6200000015</v>
      </c>
      <c r="I42" s="9">
        <f t="shared" ref="I42" si="462">ROUND(H42*0,2)</f>
        <v>0</v>
      </c>
      <c r="J42" s="9">
        <f t="shared" ref="J42" si="463">ROUND((I42*0.58)+((I42*0.42)*0.1),2)</f>
        <v>0</v>
      </c>
      <c r="K42" s="9">
        <f t="shared" ref="K42" si="464">ROUND((I42*0.42)*0.9,2)</f>
        <v>0</v>
      </c>
      <c r="L42" s="66">
        <f t="shared" ref="L42" si="465">IF(J42+K42=I42,H42-I42,"ERROR")</f>
        <v>1441281.6200000015</v>
      </c>
      <c r="M42" s="9">
        <f t="shared" ref="M42" si="466">ROUND(L42*0.465,2)</f>
        <v>670195.94999999995</v>
      </c>
      <c r="N42" s="9">
        <f>ROUND(L42*0.3,2)-0.01</f>
        <v>432384.48</v>
      </c>
      <c r="O42" s="9">
        <f>ROUND(L42*0.1285,2)</f>
        <v>185204.69</v>
      </c>
      <c r="P42" s="9">
        <f t="shared" ref="P42" si="467">ROUND((L42*0.07)*0.9,2)</f>
        <v>90800.74</v>
      </c>
      <c r="Q42" s="9">
        <f>ROUND(L42*0.01,2)</f>
        <v>14412.82</v>
      </c>
      <c r="R42" s="9">
        <f t="shared" ref="R42" si="468">ROUND((L42*0.0075)*0.9,2)</f>
        <v>9728.65</v>
      </c>
      <c r="S42" s="9">
        <f t="shared" ref="S42" si="469">ROUND((L42*0.0075)*0.9,2)</f>
        <v>9728.65</v>
      </c>
      <c r="T42" s="9">
        <v>14412.82</v>
      </c>
      <c r="U42" s="9">
        <v>14412.82</v>
      </c>
      <c r="V42" s="40">
        <f t="shared" ref="V42" si="470">E42/W42</f>
        <v>1530.4128644240586</v>
      </c>
      <c r="W42" s="10">
        <v>981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Mountaineer!A43</f>
        <v>44639</v>
      </c>
      <c r="B43" s="9">
        <v>20249308.789999999</v>
      </c>
      <c r="C43" s="9">
        <v>18152242.440000001</v>
      </c>
      <c r="D43" s="9">
        <v>266043</v>
      </c>
      <c r="E43" s="9">
        <f t="shared" ref="E43" si="471">B43-C43-D43</f>
        <v>1831023.3499999978</v>
      </c>
      <c r="F43" s="9">
        <f>ROUND(E43*0.04,2)+0.01</f>
        <v>73240.939999999988</v>
      </c>
      <c r="G43" s="9">
        <f t="shared" ref="G43" si="472">ROUND(E43*0,2)</f>
        <v>0</v>
      </c>
      <c r="H43" s="9">
        <f t="shared" ref="H43" si="473">E43-F43-G43</f>
        <v>1757782.4099999978</v>
      </c>
      <c r="I43" s="9">
        <f t="shared" ref="I43" si="474">ROUND(H43*0,2)</f>
        <v>0</v>
      </c>
      <c r="J43" s="9">
        <f t="shared" ref="J43" si="475">ROUND((I43*0.58)+((I43*0.42)*0.1),2)</f>
        <v>0</v>
      </c>
      <c r="K43" s="9">
        <f t="shared" ref="K43" si="476">ROUND((I43*0.42)*0.9,2)</f>
        <v>0</v>
      </c>
      <c r="L43" s="66">
        <f t="shared" ref="L43" si="477">IF(J43+K43=I43,H43-I43,"ERROR")</f>
        <v>1757782.4099999978</v>
      </c>
      <c r="M43" s="9">
        <f t="shared" ref="M43" si="478">ROUND(L43*0.465,2)</f>
        <v>817368.82</v>
      </c>
      <c r="N43" s="9">
        <f>ROUND(L43*0.3,2)+0.03</f>
        <v>527334.75</v>
      </c>
      <c r="O43" s="9">
        <f>ROUND(L43*0.1285,2)-0.01</f>
        <v>225875.03</v>
      </c>
      <c r="P43" s="9">
        <f t="shared" ref="P43" si="479">ROUND((L43*0.07)*0.9,2)</f>
        <v>110740.29</v>
      </c>
      <c r="Q43" s="9">
        <f>ROUND(L43*0.01,2)</f>
        <v>17577.82</v>
      </c>
      <c r="R43" s="9">
        <f t="shared" ref="R43" si="480">ROUND((L43*0.0075)*0.9,2)</f>
        <v>11865.03</v>
      </c>
      <c r="S43" s="9">
        <f t="shared" ref="S43" si="481">ROUND((L43*0.0075)*0.9,2)</f>
        <v>11865.03</v>
      </c>
      <c r="T43" s="9">
        <v>17577.82</v>
      </c>
      <c r="U43" s="9">
        <v>17577.82</v>
      </c>
      <c r="V43" s="40">
        <f t="shared" ref="V43" si="482">E43/W43</f>
        <v>1755.5353307766038</v>
      </c>
      <c r="W43" s="10">
        <v>1043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Mountaineer!A44</f>
        <v>44646</v>
      </c>
      <c r="B44" s="9">
        <v>20245280.979999997</v>
      </c>
      <c r="C44" s="9">
        <v>18125376.32</v>
      </c>
      <c r="D44" s="9">
        <v>289028</v>
      </c>
      <c r="E44" s="9">
        <f t="shared" ref="E44" si="483">B44-C44-D44</f>
        <v>1830876.6599999964</v>
      </c>
      <c r="F44" s="9">
        <f>ROUND(E44*0.04,2)+0.01</f>
        <v>73235.08</v>
      </c>
      <c r="G44" s="9">
        <f t="shared" ref="G44" si="484">ROUND(E44*0,2)</f>
        <v>0</v>
      </c>
      <c r="H44" s="9">
        <f t="shared" ref="H44" si="485">E44-F44-G44</f>
        <v>1757641.5799999963</v>
      </c>
      <c r="I44" s="9">
        <f t="shared" ref="I44" si="486">ROUND(H44*0,2)</f>
        <v>0</v>
      </c>
      <c r="J44" s="9">
        <f t="shared" ref="J44" si="487">ROUND((I44*0.58)+((I44*0.42)*0.1),2)</f>
        <v>0</v>
      </c>
      <c r="K44" s="9">
        <f t="shared" ref="K44" si="488">ROUND((I44*0.42)*0.9,2)</f>
        <v>0</v>
      </c>
      <c r="L44" s="66">
        <f t="shared" ref="L44" si="489">IF(J44+K44=I44,H44-I44,"ERROR")</f>
        <v>1757641.5799999963</v>
      </c>
      <c r="M44" s="9">
        <f t="shared" ref="M44" si="490">ROUND(L44*0.465,2)</f>
        <v>817303.33</v>
      </c>
      <c r="N44" s="9">
        <f>ROUND(L44*0.3,2)-0.02</f>
        <v>527292.44999999995</v>
      </c>
      <c r="O44" s="9">
        <f>ROUND(L44*0.1285,2)+0.02</f>
        <v>225856.96</v>
      </c>
      <c r="P44" s="9">
        <f t="shared" ref="P44" si="491">ROUND((L44*0.07)*0.9,2)</f>
        <v>110731.42</v>
      </c>
      <c r="Q44" s="9">
        <f>ROUND(L44*0.01,2)</f>
        <v>17576.419999999998</v>
      </c>
      <c r="R44" s="9">
        <f t="shared" ref="R44" si="492">ROUND((L44*0.0075)*0.9,2)</f>
        <v>11864.08</v>
      </c>
      <c r="S44" s="9">
        <f t="shared" ref="S44" si="493">ROUND((L44*0.0075)*0.9,2)</f>
        <v>11864.08</v>
      </c>
      <c r="T44" s="9">
        <v>17576.419999999998</v>
      </c>
      <c r="U44" s="9">
        <v>17576.419999999998</v>
      </c>
      <c r="V44" s="40">
        <f t="shared" ref="V44" si="494">E44/W44</f>
        <v>1728.8731444759173</v>
      </c>
      <c r="W44" s="10">
        <v>1059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Mountaineer!A45</f>
        <v>44653</v>
      </c>
      <c r="B45" s="9">
        <v>20686447.710000001</v>
      </c>
      <c r="C45" s="9">
        <v>18668414.739999998</v>
      </c>
      <c r="D45" s="9">
        <v>275464</v>
      </c>
      <c r="E45" s="9">
        <f t="shared" ref="E45" si="495">B45-C45-D45</f>
        <v>1742568.9700000025</v>
      </c>
      <c r="F45" s="9">
        <f>ROUND(E45*0.04,2)</f>
        <v>69702.759999999995</v>
      </c>
      <c r="G45" s="9">
        <f t="shared" ref="G45" si="496">ROUND(E45*0,2)</f>
        <v>0</v>
      </c>
      <c r="H45" s="9">
        <f t="shared" ref="H45" si="497">E45-F45-G45</f>
        <v>1672866.2100000025</v>
      </c>
      <c r="I45" s="9">
        <f t="shared" ref="I45" si="498">ROUND(H45*0,2)</f>
        <v>0</v>
      </c>
      <c r="J45" s="9">
        <f t="shared" ref="J45" si="499">ROUND((I45*0.58)+((I45*0.42)*0.1),2)</f>
        <v>0</v>
      </c>
      <c r="K45" s="9">
        <f t="shared" ref="K45" si="500">ROUND((I45*0.42)*0.9,2)</f>
        <v>0</v>
      </c>
      <c r="L45" s="66">
        <f t="shared" ref="L45" si="501">IF(J45+K45=I45,H45-I45,"ERROR")</f>
        <v>1672866.2100000025</v>
      </c>
      <c r="M45" s="9">
        <f t="shared" ref="M45" si="502">ROUND(L45*0.465,2)</f>
        <v>777882.79</v>
      </c>
      <c r="N45" s="9">
        <f>ROUND(L45*0.3,2)+0.01</f>
        <v>501859.87</v>
      </c>
      <c r="O45" s="9">
        <f>ROUND(L45*0.1285,2)-0.01</f>
        <v>214963.3</v>
      </c>
      <c r="P45" s="9">
        <f t="shared" ref="P45" si="503">ROUND((L45*0.07)*0.9,2)</f>
        <v>105390.57</v>
      </c>
      <c r="Q45" s="9">
        <f>ROUND(L45*0.01,2)</f>
        <v>16728.66</v>
      </c>
      <c r="R45" s="9">
        <f t="shared" ref="R45" si="504">ROUND((L45*0.0075)*0.9,2)</f>
        <v>11291.85</v>
      </c>
      <c r="S45" s="9">
        <f t="shared" ref="S45" si="505">ROUND((L45*0.0075)*0.9,2)</f>
        <v>11291.85</v>
      </c>
      <c r="T45" s="9">
        <v>16728.66</v>
      </c>
      <c r="U45" s="9">
        <v>16728.66</v>
      </c>
      <c r="V45" s="40">
        <f t="shared" ref="V45" si="506">E45/W45</f>
        <v>1648.5988363292361</v>
      </c>
      <c r="W45" s="10">
        <v>1057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Mountaineer!A46</f>
        <v>44660</v>
      </c>
      <c r="B46" s="9">
        <v>20306558.850000001</v>
      </c>
      <c r="C46" s="9">
        <v>18296817.43</v>
      </c>
      <c r="D46" s="9">
        <v>304430</v>
      </c>
      <c r="E46" s="9">
        <f t="shared" ref="E46" si="507">B46-C46-D46</f>
        <v>1705311.4200000018</v>
      </c>
      <c r="F46" s="9">
        <f>ROUND(E46*0.04,2)</f>
        <v>68212.460000000006</v>
      </c>
      <c r="G46" s="9">
        <f t="shared" ref="G46" si="508">ROUND(E46*0,2)</f>
        <v>0</v>
      </c>
      <c r="H46" s="9">
        <f t="shared" ref="H46" si="509">E46-F46-G46</f>
        <v>1637098.9600000018</v>
      </c>
      <c r="I46" s="9">
        <f t="shared" ref="I46" si="510">ROUND(H46*0,2)</f>
        <v>0</v>
      </c>
      <c r="J46" s="9">
        <f t="shared" ref="J46" si="511">ROUND((I46*0.58)+((I46*0.42)*0.1),2)</f>
        <v>0</v>
      </c>
      <c r="K46" s="9">
        <f t="shared" ref="K46" si="512">ROUND((I46*0.42)*0.9,2)</f>
        <v>0</v>
      </c>
      <c r="L46" s="66">
        <f t="shared" ref="L46" si="513">IF(J46+K46=I46,H46-I46,"ERROR")</f>
        <v>1637098.9600000018</v>
      </c>
      <c r="M46" s="9">
        <f t="shared" ref="M46" si="514">ROUND(L46*0.465,2)</f>
        <v>761251.02</v>
      </c>
      <c r="N46" s="9">
        <f>ROUND(L46*0.3,2)+0.04</f>
        <v>491129.73</v>
      </c>
      <c r="O46" s="9">
        <f>ROUND(L46*0.1285,2)-0.02</f>
        <v>210367.2</v>
      </c>
      <c r="P46" s="9">
        <f t="shared" ref="P46" si="515">ROUND((L46*0.07)*0.9,2)</f>
        <v>103137.23</v>
      </c>
      <c r="Q46" s="9">
        <f>ROUND(L46*0.01,2)-0.01</f>
        <v>16370.98</v>
      </c>
      <c r="R46" s="9">
        <f t="shared" ref="R46" si="516">ROUND((L46*0.0075)*0.9,2)</f>
        <v>11050.42</v>
      </c>
      <c r="S46" s="9">
        <f t="shared" ref="S46" si="517">ROUND((L46*0.0075)*0.9,2)</f>
        <v>11050.42</v>
      </c>
      <c r="T46" s="9">
        <f>ROUND(L46*0.01,2)-0.01</f>
        <v>16370.98</v>
      </c>
      <c r="U46" s="9">
        <f>ROUND(L46*0.01,2)-0.01</f>
        <v>16370.98</v>
      </c>
      <c r="V46" s="40">
        <f t="shared" ref="V46" si="518">E46/W46</f>
        <v>1756.2424510813612</v>
      </c>
      <c r="W46" s="10">
        <v>971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Mountaineer!A47</f>
        <v>44667</v>
      </c>
      <c r="B47" s="9">
        <v>18718673.82</v>
      </c>
      <c r="C47" s="9">
        <v>16856790.48</v>
      </c>
      <c r="D47" s="9">
        <v>274195</v>
      </c>
      <c r="E47" s="9">
        <f t="shared" ref="E47" si="519">B47-C47-D47</f>
        <v>1587688.3399999999</v>
      </c>
      <c r="F47" s="9">
        <f>ROUND(E47*0.04,2)</f>
        <v>63507.53</v>
      </c>
      <c r="G47" s="9">
        <f t="shared" ref="G47" si="520">ROUND(E47*0,2)</f>
        <v>0</v>
      </c>
      <c r="H47" s="9">
        <f t="shared" ref="H47" si="521">E47-F47-G47</f>
        <v>1524180.8099999998</v>
      </c>
      <c r="I47" s="9">
        <f t="shared" ref="I47" si="522">ROUND(H47*0,2)</f>
        <v>0</v>
      </c>
      <c r="J47" s="9">
        <f t="shared" ref="J47" si="523">ROUND((I47*0.58)+((I47*0.42)*0.1),2)</f>
        <v>0</v>
      </c>
      <c r="K47" s="9">
        <f t="shared" ref="K47" si="524">ROUND((I47*0.42)*0.9,2)</f>
        <v>0</v>
      </c>
      <c r="L47" s="66">
        <f t="shared" ref="L47" si="525">IF(J47+K47=I47,H47-I47,"ERROR")</f>
        <v>1524180.8099999998</v>
      </c>
      <c r="M47" s="9">
        <f t="shared" ref="M47" si="526">ROUND(L47*0.465,2)</f>
        <v>708744.08</v>
      </c>
      <c r="N47" s="9">
        <f>ROUND(L47*0.3,2)+0.03</f>
        <v>457254.27</v>
      </c>
      <c r="O47" s="9">
        <f>ROUND(L47*0.1285,2)</f>
        <v>195857.23</v>
      </c>
      <c r="P47" s="9">
        <f t="shared" ref="P47" si="527">ROUND((L47*0.07)*0.9,2)</f>
        <v>96023.39</v>
      </c>
      <c r="Q47" s="9">
        <f>ROUND(L47*0.01,2)-0.01</f>
        <v>15241.8</v>
      </c>
      <c r="R47" s="9">
        <f t="shared" ref="R47" si="528">ROUND((L47*0.0075)*0.9,2)</f>
        <v>10288.219999999999</v>
      </c>
      <c r="S47" s="9">
        <f t="shared" ref="S47" si="529">ROUND((L47*0.0075)*0.9,2)</f>
        <v>10288.219999999999</v>
      </c>
      <c r="T47" s="9">
        <f>ROUND(L47*0.01,2)-0.01</f>
        <v>15241.8</v>
      </c>
      <c r="U47" s="9">
        <f>ROUND(L47*0.01,2)-0.01</f>
        <v>15241.8</v>
      </c>
      <c r="V47" s="40">
        <f t="shared" ref="V47" si="530">E47/W47</f>
        <v>1631.7454676258992</v>
      </c>
      <c r="W47" s="10">
        <v>973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Mountaineer!A48</f>
        <v>44674</v>
      </c>
      <c r="B48" s="9">
        <v>18743480.740000002</v>
      </c>
      <c r="C48" s="9">
        <v>16788688.09</v>
      </c>
      <c r="D48" s="9">
        <v>263462</v>
      </c>
      <c r="E48" s="9">
        <f t="shared" ref="E48" si="531">B48-C48-D48</f>
        <v>1691330.6500000022</v>
      </c>
      <c r="F48" s="9">
        <f>ROUND(E48*0.04,2)-0.01</f>
        <v>67653.22</v>
      </c>
      <c r="G48" s="9">
        <f t="shared" ref="G48" si="532">ROUND(E48*0,2)</f>
        <v>0</v>
      </c>
      <c r="H48" s="9">
        <f t="shared" ref="H48" si="533">E48-F48-G48</f>
        <v>1623677.4300000023</v>
      </c>
      <c r="I48" s="9">
        <f t="shared" ref="I48" si="534">ROUND(H48*0,2)</f>
        <v>0</v>
      </c>
      <c r="J48" s="9">
        <f t="shared" ref="J48" si="535">ROUND((I48*0.58)+((I48*0.42)*0.1),2)</f>
        <v>0</v>
      </c>
      <c r="K48" s="9">
        <f t="shared" ref="K48" si="536">ROUND((I48*0.42)*0.9,2)</f>
        <v>0</v>
      </c>
      <c r="L48" s="66">
        <f t="shared" ref="L48" si="537">IF(J48+K48=I48,H48-I48,"ERROR")</f>
        <v>1623677.4300000023</v>
      </c>
      <c r="M48" s="9">
        <f t="shared" ref="M48" si="538">ROUND(L48*0.465,2)</f>
        <v>755010</v>
      </c>
      <c r="N48" s="9">
        <f>ROUND(L48*0.3,2)-0.02</f>
        <v>487103.20999999996</v>
      </c>
      <c r="O48" s="9">
        <f>ROUND(L48*0.1285,2)+0.01</f>
        <v>208642.56</v>
      </c>
      <c r="P48" s="9">
        <f t="shared" ref="P48" si="539">ROUND((L48*0.07)*0.9,2)</f>
        <v>102291.68</v>
      </c>
      <c r="Q48" s="9">
        <f>ROUND(L48*0.01,2)+0.01</f>
        <v>16236.78</v>
      </c>
      <c r="R48" s="9">
        <f t="shared" ref="R48" si="540">ROUND((L48*0.0075)*0.9,2)</f>
        <v>10959.82</v>
      </c>
      <c r="S48" s="9">
        <f t="shared" ref="S48" si="541">ROUND((L48*0.0075)*0.9,2)</f>
        <v>10959.82</v>
      </c>
      <c r="T48" s="9">
        <f>ROUND(L48*0.01,2)+0.01</f>
        <v>16236.78</v>
      </c>
      <c r="U48" s="9">
        <f>ROUND(L48*0.01,2)+0.01</f>
        <v>16236.78</v>
      </c>
      <c r="V48" s="40">
        <f t="shared" ref="V48" si="542">E48/W48</f>
        <v>1727.6104698672136</v>
      </c>
      <c r="W48" s="10">
        <v>979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Mountaineer!A49</f>
        <v>44681</v>
      </c>
      <c r="B49" s="9">
        <v>19090964.84</v>
      </c>
      <c r="C49" s="9">
        <v>17188063.620000001</v>
      </c>
      <c r="D49" s="9">
        <v>309391</v>
      </c>
      <c r="E49" s="9">
        <f t="shared" ref="E49" si="543">B49-C49-D49</f>
        <v>1593510.2199999988</v>
      </c>
      <c r="F49" s="9">
        <f>ROUND(E49*0.04,2)</f>
        <v>63740.41</v>
      </c>
      <c r="G49" s="9">
        <f t="shared" ref="G49" si="544">ROUND(E49*0,2)</f>
        <v>0</v>
      </c>
      <c r="H49" s="9">
        <f t="shared" ref="H49" si="545">E49-F49-G49</f>
        <v>1529769.8099999989</v>
      </c>
      <c r="I49" s="9">
        <f t="shared" ref="I49" si="546">ROUND(H49*0,2)</f>
        <v>0</v>
      </c>
      <c r="J49" s="9">
        <f t="shared" ref="J49" si="547">ROUND((I49*0.58)+((I49*0.42)*0.1),2)</f>
        <v>0</v>
      </c>
      <c r="K49" s="9">
        <f t="shared" ref="K49" si="548">ROUND((I49*0.42)*0.9,2)</f>
        <v>0</v>
      </c>
      <c r="L49" s="66">
        <f t="shared" ref="L49" si="549">IF(J49+K49=I49,H49-I49,"ERROR")</f>
        <v>1529769.8099999989</v>
      </c>
      <c r="M49" s="9">
        <f t="shared" ref="M49" si="550">ROUND(L49*0.465,2)</f>
        <v>711342.96</v>
      </c>
      <c r="N49" s="9">
        <f>ROUND(L49*0.3,2)-0.01</f>
        <v>458930.93</v>
      </c>
      <c r="O49" s="9">
        <f>ROUND(L49*0.1285,2)</f>
        <v>196575.42</v>
      </c>
      <c r="P49" s="9">
        <f t="shared" ref="P49" si="551">ROUND((L49*0.07)*0.9,2)</f>
        <v>96375.5</v>
      </c>
      <c r="Q49" s="9">
        <f>ROUND(L49*0.01,2)</f>
        <v>15297.7</v>
      </c>
      <c r="R49" s="9">
        <f t="shared" ref="R49" si="552">ROUND((L49*0.0075)*0.9,2)</f>
        <v>10325.950000000001</v>
      </c>
      <c r="S49" s="9">
        <f t="shared" ref="S49" si="553">ROUND((L49*0.0075)*0.9,2)</f>
        <v>10325.950000000001</v>
      </c>
      <c r="T49" s="9">
        <f>ROUND(L49*0.01,2)</f>
        <v>15297.7</v>
      </c>
      <c r="U49" s="9">
        <f>ROUND(L49*0.01,2)</f>
        <v>15297.7</v>
      </c>
      <c r="V49" s="40">
        <f t="shared" ref="V49" si="554">E49/W49</f>
        <v>1611.2337917087955</v>
      </c>
      <c r="W49" s="10">
        <v>989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Mountaineer!A50</f>
        <v>44688</v>
      </c>
      <c r="B50" s="9">
        <v>19501047.039999999</v>
      </c>
      <c r="C50" s="9">
        <v>17466835.039999999</v>
      </c>
      <c r="D50" s="9">
        <v>257283</v>
      </c>
      <c r="E50" s="9">
        <f t="shared" ref="E50" si="555">B50-C50-D50</f>
        <v>1776929</v>
      </c>
      <c r="F50" s="9">
        <f>ROUND(E50*0.04,2)+0.01</f>
        <v>71077.17</v>
      </c>
      <c r="G50" s="9">
        <f t="shared" ref="G50" si="556">ROUND(E50*0,2)</f>
        <v>0</v>
      </c>
      <c r="H50" s="9">
        <f t="shared" ref="H50" si="557">E50-F50-G50</f>
        <v>1705851.83</v>
      </c>
      <c r="I50" s="9">
        <f t="shared" ref="I50" si="558">ROUND(H50*0,2)</f>
        <v>0</v>
      </c>
      <c r="J50" s="9">
        <f t="shared" ref="J50" si="559">ROUND((I50*0.58)+((I50*0.42)*0.1),2)</f>
        <v>0</v>
      </c>
      <c r="K50" s="9">
        <f t="shared" ref="K50" si="560">ROUND((I50*0.42)*0.9,2)</f>
        <v>0</v>
      </c>
      <c r="L50" s="66">
        <f t="shared" ref="L50" si="561">IF(J50+K50=I50,H50-I50,"ERROR")</f>
        <v>1705851.83</v>
      </c>
      <c r="M50" s="9">
        <f t="shared" ref="M50" si="562">ROUND(L50*0.465,2)</f>
        <v>793221.1</v>
      </c>
      <c r="N50" s="9">
        <f>ROUND(L50*0.3,2)-0.01</f>
        <v>511755.54</v>
      </c>
      <c r="O50" s="9">
        <f>ROUND(L50*0.1285,2)</f>
        <v>219201.96</v>
      </c>
      <c r="P50" s="9">
        <f t="shared" ref="P50" si="563">ROUND((L50*0.07)*0.9,2)</f>
        <v>107468.67</v>
      </c>
      <c r="Q50" s="9">
        <f>ROUND(L50*0.01,2)</f>
        <v>17058.52</v>
      </c>
      <c r="R50" s="9">
        <f t="shared" ref="R50" si="564">ROUND((L50*0.0075)*0.9,2)</f>
        <v>11514.5</v>
      </c>
      <c r="S50" s="9">
        <f t="shared" ref="S50" si="565">ROUND((L50*0.0075)*0.9,2)</f>
        <v>11514.5</v>
      </c>
      <c r="T50" s="9">
        <f>ROUND(L50*0.01,2)</f>
        <v>17058.52</v>
      </c>
      <c r="U50" s="9">
        <f>ROUND(L50*0.01,2)</f>
        <v>17058.52</v>
      </c>
      <c r="V50" s="40">
        <f t="shared" ref="V50" si="566">E50/W50</f>
        <v>1798.5111336032389</v>
      </c>
      <c r="W50" s="10">
        <v>988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Mountaineer!A51</f>
        <v>44695</v>
      </c>
      <c r="B51" s="9">
        <v>17065110.780000001</v>
      </c>
      <c r="C51" s="9">
        <v>15401663.77</v>
      </c>
      <c r="D51" s="9">
        <v>239238</v>
      </c>
      <c r="E51" s="9">
        <f t="shared" ref="E51" si="567">B51-C51-D51</f>
        <v>1424209.0100000016</v>
      </c>
      <c r="F51" s="9">
        <f>ROUND(E51*0.04,2)+0.01</f>
        <v>56968.37</v>
      </c>
      <c r="G51" s="9">
        <f t="shared" ref="G51" si="568">ROUND(E51*0,2)</f>
        <v>0</v>
      </c>
      <c r="H51" s="9">
        <f t="shared" ref="H51" si="569">E51-F51-G51</f>
        <v>1367240.6400000015</v>
      </c>
      <c r="I51" s="9">
        <f t="shared" ref="I51" si="570">ROUND(H51*0,2)</f>
        <v>0</v>
      </c>
      <c r="J51" s="9">
        <f t="shared" ref="J51" si="571">ROUND((I51*0.58)+((I51*0.42)*0.1),2)</f>
        <v>0</v>
      </c>
      <c r="K51" s="9">
        <f t="shared" ref="K51" si="572">ROUND((I51*0.42)*0.9,2)</f>
        <v>0</v>
      </c>
      <c r="L51" s="66">
        <f t="shared" ref="L51" si="573">IF(J51+K51=I51,H51-I51,"ERROR")</f>
        <v>1367240.6400000015</v>
      </c>
      <c r="M51" s="9">
        <f t="shared" ref="M51" si="574">ROUND(L51*0.465,2)</f>
        <v>635766.9</v>
      </c>
      <c r="N51" s="9">
        <f>ROUND(L51*0.3,2)+0.05</f>
        <v>410172.24</v>
      </c>
      <c r="O51" s="9">
        <f>ROUND(L51*0.1285,2)-0.02</f>
        <v>175690.40000000002</v>
      </c>
      <c r="P51" s="9">
        <f t="shared" ref="P51" si="575">ROUND((L51*0.07)*0.9,2)</f>
        <v>86136.16</v>
      </c>
      <c r="Q51" s="9">
        <f>ROUND(L51*0.01,2)-0.01</f>
        <v>13672.4</v>
      </c>
      <c r="R51" s="9">
        <f t="shared" ref="R51" si="576">ROUND((L51*0.0075)*0.9,2)</f>
        <v>9228.8700000000008</v>
      </c>
      <c r="S51" s="9">
        <f t="shared" ref="S51" si="577">ROUND((L51*0.0075)*0.9,2)</f>
        <v>9228.8700000000008</v>
      </c>
      <c r="T51" s="9">
        <f>ROUND(L51*0.01,2)-0.01</f>
        <v>13672.4</v>
      </c>
      <c r="U51" s="9">
        <f>ROUND(L51*0.01,2)-0.01</f>
        <v>13672.4</v>
      </c>
      <c r="V51" s="40">
        <f t="shared" ref="V51" si="578">E51/W51</f>
        <v>1503.9165892291464</v>
      </c>
      <c r="W51" s="10">
        <v>947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Mountaineer!A52</f>
        <v>44702</v>
      </c>
      <c r="B52" s="9">
        <v>17080382.079999998</v>
      </c>
      <c r="C52" s="9">
        <v>15427083.879999999</v>
      </c>
      <c r="D52" s="9">
        <v>250647</v>
      </c>
      <c r="E52" s="9">
        <f t="shared" ref="E52" si="579">B52-C52-D52</f>
        <v>1402651.1999999993</v>
      </c>
      <c r="F52" s="9">
        <f>ROUND(E52*0.04,2)</f>
        <v>56106.05</v>
      </c>
      <c r="G52" s="9">
        <f t="shared" ref="G52" si="580">ROUND(E52*0,2)</f>
        <v>0</v>
      </c>
      <c r="H52" s="9">
        <f t="shared" ref="H52" si="581">E52-F52-G52</f>
        <v>1346545.1499999992</v>
      </c>
      <c r="I52" s="9">
        <f t="shared" ref="I52" si="582">ROUND(H52*0,2)</f>
        <v>0</v>
      </c>
      <c r="J52" s="9">
        <f t="shared" ref="J52" si="583">ROUND((I52*0.58)+((I52*0.42)*0.1),2)</f>
        <v>0</v>
      </c>
      <c r="K52" s="9">
        <f t="shared" ref="K52" si="584">ROUND((I52*0.42)*0.9,2)</f>
        <v>0</v>
      </c>
      <c r="L52" s="66">
        <f t="shared" ref="L52" si="585">IF(J52+K52=I52,H52-I52,"ERROR")</f>
        <v>1346545.1499999992</v>
      </c>
      <c r="M52" s="9">
        <f t="shared" ref="M52" si="586">ROUND(L52*0.465,2)</f>
        <v>626143.49</v>
      </c>
      <c r="N52" s="9">
        <f>ROUND(L52*0.3,2)-0.05</f>
        <v>403963.5</v>
      </c>
      <c r="O52" s="9">
        <f>ROUND(L52*0.1285,2)+0.03</f>
        <v>173031.08</v>
      </c>
      <c r="P52" s="9">
        <f t="shared" ref="P52" si="587">ROUND((L52*0.07)*0.9,2)</f>
        <v>84832.34</v>
      </c>
      <c r="Q52" s="9">
        <f>ROUND(L52*0.01,2)+0.01</f>
        <v>13465.460000000001</v>
      </c>
      <c r="R52" s="9">
        <f t="shared" ref="R52" si="588">ROUND((L52*0.0075)*0.9,2)</f>
        <v>9089.18</v>
      </c>
      <c r="S52" s="9">
        <f t="shared" ref="S52" si="589">ROUND((L52*0.0075)*0.9,2)</f>
        <v>9089.18</v>
      </c>
      <c r="T52" s="9">
        <f>ROUND(L52*0.01,2)+0.01</f>
        <v>13465.460000000001</v>
      </c>
      <c r="U52" s="9">
        <f>ROUND(L52*0.01,2)+0.01</f>
        <v>13465.460000000001</v>
      </c>
      <c r="V52" s="40">
        <f t="shared" ref="V52" si="590">E52/W52</f>
        <v>1527.9424836601299</v>
      </c>
      <c r="W52" s="10">
        <v>918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Mountaineer!A53</f>
        <v>44709</v>
      </c>
      <c r="B53" s="9">
        <v>17046530.329999998</v>
      </c>
      <c r="C53" s="9">
        <v>15201722.310000001</v>
      </c>
      <c r="D53" s="9">
        <v>254024</v>
      </c>
      <c r="E53" s="9">
        <f t="shared" ref="E53" si="591">B53-C53-D53</f>
        <v>1590784.0199999977</v>
      </c>
      <c r="F53" s="9">
        <f>ROUND(E53*0.04,2)</f>
        <v>63631.360000000001</v>
      </c>
      <c r="G53" s="9">
        <f t="shared" ref="G53" si="592">ROUND(E53*0,2)</f>
        <v>0</v>
      </c>
      <c r="H53" s="9">
        <f t="shared" ref="H53" si="593">E53-F53-G53</f>
        <v>1527152.6599999976</v>
      </c>
      <c r="I53" s="9">
        <f t="shared" ref="I53" si="594">ROUND(H53*0,2)</f>
        <v>0</v>
      </c>
      <c r="J53" s="9">
        <f t="shared" ref="J53" si="595">ROUND((I53*0.58)+((I53*0.42)*0.1),2)</f>
        <v>0</v>
      </c>
      <c r="K53" s="9">
        <f t="shared" ref="K53" si="596">ROUND((I53*0.42)*0.9,2)</f>
        <v>0</v>
      </c>
      <c r="L53" s="66">
        <f t="shared" ref="L53" si="597">IF(J53+K53=I53,H53-I53,"ERROR")</f>
        <v>1527152.6599999976</v>
      </c>
      <c r="M53" s="9">
        <f t="shared" ref="M53" si="598">ROUND(L53*0.465,2)</f>
        <v>710125.99</v>
      </c>
      <c r="N53" s="9">
        <f>ROUND(L53*0.3,2)+0.04</f>
        <v>458145.83999999997</v>
      </c>
      <c r="O53" s="9">
        <f>ROUND(L53*0.1285,2)-0.03</f>
        <v>196239.09</v>
      </c>
      <c r="P53" s="9">
        <f t="shared" ref="P53" si="599">ROUND((L53*0.07)*0.9,2)</f>
        <v>96210.62</v>
      </c>
      <c r="Q53" s="9">
        <f>ROUND(L53*0.01,2)-0.01</f>
        <v>15271.52</v>
      </c>
      <c r="R53" s="9">
        <f t="shared" ref="R53" si="600">ROUND((L53*0.0075)*0.9,2)</f>
        <v>10308.280000000001</v>
      </c>
      <c r="S53" s="9">
        <f t="shared" ref="S53" si="601">ROUND((L53*0.0075)*0.9,2)</f>
        <v>10308.280000000001</v>
      </c>
      <c r="T53" s="9">
        <f>ROUND(L53*0.01,2)-0.01</f>
        <v>15271.52</v>
      </c>
      <c r="U53" s="9">
        <f>ROUND(L53*0.01,2)-0.01</f>
        <v>15271.52</v>
      </c>
      <c r="V53" s="40">
        <f t="shared" ref="V53" si="602">E53/W53</f>
        <v>1893.7904999999973</v>
      </c>
      <c r="W53" s="10">
        <v>840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Mountaineer!A54</f>
        <v>44716</v>
      </c>
      <c r="B54" s="9">
        <v>16867661.68</v>
      </c>
      <c r="C54" s="9">
        <v>15139522.029999999</v>
      </c>
      <c r="D54" s="9">
        <v>262977</v>
      </c>
      <c r="E54" s="9">
        <f t="shared" ref="E54" si="603">B54-C54-D54</f>
        <v>1465162.6500000004</v>
      </c>
      <c r="F54" s="9">
        <f>ROUND(E54*0.04,2)</f>
        <v>58606.51</v>
      </c>
      <c r="G54" s="9">
        <f t="shared" ref="G54" si="604">ROUND(E54*0,2)</f>
        <v>0</v>
      </c>
      <c r="H54" s="9">
        <f t="shared" ref="H54" si="605">E54-F54-G54</f>
        <v>1406556.1400000004</v>
      </c>
      <c r="I54" s="9">
        <f t="shared" ref="I54" si="606">ROUND(H54*0,2)</f>
        <v>0</v>
      </c>
      <c r="J54" s="9">
        <f t="shared" ref="J54" si="607">ROUND((I54*0.58)+((I54*0.42)*0.1),2)</f>
        <v>0</v>
      </c>
      <c r="K54" s="9">
        <f t="shared" ref="K54" si="608">ROUND((I54*0.42)*0.9,2)</f>
        <v>0</v>
      </c>
      <c r="L54" s="66">
        <f t="shared" ref="L54" si="609">IF(J54+K54=I54,H54-I54,"ERROR")</f>
        <v>1406556.1400000004</v>
      </c>
      <c r="M54" s="9">
        <f t="shared" ref="M54" si="610">ROUND(L54*0.465,2)</f>
        <v>654048.61</v>
      </c>
      <c r="N54" s="9">
        <f>ROUND(L54*0.3,2)</f>
        <v>421966.84</v>
      </c>
      <c r="O54" s="9">
        <f>ROUND(L54*0.1285,2)+0.01</f>
        <v>180742.47</v>
      </c>
      <c r="P54" s="9">
        <f t="shared" ref="P54" si="611">ROUND((L54*0.07)*0.9,2)</f>
        <v>88613.04</v>
      </c>
      <c r="Q54" s="9">
        <f>ROUND(L54*0.01,2)</f>
        <v>14065.56</v>
      </c>
      <c r="R54" s="9">
        <f t="shared" ref="R54" si="612">ROUND((L54*0.0075)*0.9,2)</f>
        <v>9494.25</v>
      </c>
      <c r="S54" s="9">
        <f t="shared" ref="S54" si="613">ROUND((L54*0.0075)*0.9,2)</f>
        <v>9494.25</v>
      </c>
      <c r="T54" s="9">
        <f>ROUND(L54*0.01,2)</f>
        <v>14065.56</v>
      </c>
      <c r="U54" s="9">
        <f>ROUND(L54*0.01,2)</f>
        <v>14065.56</v>
      </c>
      <c r="V54" s="40">
        <f t="shared" ref="V54" si="614">E54/W54</f>
        <v>1795.5424632352945</v>
      </c>
      <c r="W54" s="10">
        <v>816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Mountaineer!A55</f>
        <v>44723</v>
      </c>
      <c r="B55" s="9">
        <v>16187659.310000001</v>
      </c>
      <c r="C55" s="9">
        <v>14541746.68</v>
      </c>
      <c r="D55" s="9">
        <v>250767</v>
      </c>
      <c r="E55" s="9">
        <f t="shared" ref="E55" si="615">B55-C55-D55</f>
        <v>1395145.6300000008</v>
      </c>
      <c r="F55" s="9">
        <f>ROUND(E55*0.04,2)-0.01</f>
        <v>55805.82</v>
      </c>
      <c r="G55" s="9">
        <f t="shared" ref="G55" si="616">ROUND(E55*0,2)</f>
        <v>0</v>
      </c>
      <c r="H55" s="9">
        <f t="shared" ref="H55" si="617">E55-F55-G55</f>
        <v>1339339.8100000008</v>
      </c>
      <c r="I55" s="9">
        <f t="shared" ref="I55" si="618">ROUND(H55*0,2)</f>
        <v>0</v>
      </c>
      <c r="J55" s="9">
        <f t="shared" ref="J55" si="619">ROUND((I55*0.58)+((I55*0.42)*0.1),2)</f>
        <v>0</v>
      </c>
      <c r="K55" s="9">
        <f t="shared" ref="K55" si="620">ROUND((I55*0.42)*0.9,2)</f>
        <v>0</v>
      </c>
      <c r="L55" s="66">
        <f t="shared" ref="L55" si="621">IF(J55+K55=I55,H55-I55,"ERROR")</f>
        <v>1339339.8100000008</v>
      </c>
      <c r="M55" s="9">
        <f t="shared" ref="M55" si="622">ROUND(L55*0.465,2)</f>
        <v>622793.01</v>
      </c>
      <c r="N55" s="9">
        <f>ROUND(L55*0.3,2)-0.01</f>
        <v>401801.93</v>
      </c>
      <c r="O55" s="9">
        <f>ROUND(L55*0.1285,2)+0.01</f>
        <v>172105.18000000002</v>
      </c>
      <c r="P55" s="9">
        <f t="shared" ref="P55" si="623">ROUND((L55*0.07)*0.9,2)</f>
        <v>84378.41</v>
      </c>
      <c r="Q55" s="9">
        <f>ROUND(L55*0.01,2)</f>
        <v>13393.4</v>
      </c>
      <c r="R55" s="9">
        <f t="shared" ref="R55" si="624">ROUND((L55*0.0075)*0.9,2)</f>
        <v>9040.5400000000009</v>
      </c>
      <c r="S55" s="9">
        <f t="shared" ref="S55" si="625">ROUND((L55*0.0075)*0.9,2)</f>
        <v>9040.5400000000009</v>
      </c>
      <c r="T55" s="9">
        <f>ROUND(L55*0.01,2)</f>
        <v>13393.4</v>
      </c>
      <c r="U55" s="9">
        <f>ROUND(L55*0.01,2)</f>
        <v>13393.4</v>
      </c>
      <c r="V55" s="40">
        <f t="shared" ref="V55" si="626">E55/W55</f>
        <v>1926.9967265193382</v>
      </c>
      <c r="W55" s="10">
        <v>724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Mountaineer!A56</f>
        <v>44730</v>
      </c>
      <c r="B56" s="9">
        <v>14301011.620000001</v>
      </c>
      <c r="C56" s="9">
        <v>12812437.879999999</v>
      </c>
      <c r="D56" s="9">
        <v>283027</v>
      </c>
      <c r="E56" s="9">
        <f t="shared" ref="E56" si="627">B56-C56-D56</f>
        <v>1205546.7400000021</v>
      </c>
      <c r="F56" s="9">
        <f>ROUND(E56*0.04,2)-0.01</f>
        <v>48221.86</v>
      </c>
      <c r="G56" s="9">
        <f t="shared" ref="G56" si="628">ROUND(E56*0,2)</f>
        <v>0</v>
      </c>
      <c r="H56" s="9">
        <f t="shared" ref="H56" si="629">E56-F56-G56</f>
        <v>1157324.880000002</v>
      </c>
      <c r="I56" s="9">
        <f t="shared" ref="I56" si="630">ROUND(H56*0,2)</f>
        <v>0</v>
      </c>
      <c r="J56" s="9">
        <f t="shared" ref="J56" si="631">ROUND((I56*0.58)+((I56*0.42)*0.1),2)</f>
        <v>0</v>
      </c>
      <c r="K56" s="9">
        <f t="shared" ref="K56" si="632">ROUND((I56*0.42)*0.9,2)</f>
        <v>0</v>
      </c>
      <c r="L56" s="66">
        <f t="shared" ref="L56" si="633">IF(J56+K56=I56,H56-I56,"ERROR")</f>
        <v>1157324.880000002</v>
      </c>
      <c r="M56" s="9">
        <f t="shared" ref="M56" si="634">ROUND(L56*0.465,2)</f>
        <v>538156.06999999995</v>
      </c>
      <c r="N56" s="9">
        <f>ROUND(L56*0.3,2)+0.04</f>
        <v>347197.5</v>
      </c>
      <c r="O56" s="9">
        <f>ROUND(L56*0.1285,2)-0.01</f>
        <v>148716.24</v>
      </c>
      <c r="P56" s="9">
        <f t="shared" ref="P56" si="635">ROUND((L56*0.07)*0.9,2)</f>
        <v>72911.47</v>
      </c>
      <c r="Q56" s="9">
        <f>ROUND(L56*0.01,2)-0.01</f>
        <v>11573.24</v>
      </c>
      <c r="R56" s="9">
        <f t="shared" ref="R56" si="636">ROUND((L56*0.0075)*0.9,2)</f>
        <v>7811.94</v>
      </c>
      <c r="S56" s="9">
        <f t="shared" ref="S56" si="637">ROUND((L56*0.0075)*0.9,2)</f>
        <v>7811.94</v>
      </c>
      <c r="T56" s="9">
        <f>ROUND(L56*0.01,2)-0.01</f>
        <v>11573.24</v>
      </c>
      <c r="U56" s="9">
        <f>ROUND(L56*0.01,2)-0.01</f>
        <v>11573.24</v>
      </c>
      <c r="V56" s="40">
        <f t="shared" ref="V56" si="638">E56/W56</f>
        <v>1886.6146165884227</v>
      </c>
      <c r="W56" s="10">
        <v>639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Mountaineer!A57</f>
        <v>44737</v>
      </c>
      <c r="B57" s="9">
        <v>16127977.77</v>
      </c>
      <c r="C57" s="9">
        <v>14533061.35</v>
      </c>
      <c r="D57" s="9">
        <v>257483</v>
      </c>
      <c r="E57" s="9">
        <f t="shared" ref="E57" si="639">B57-C57-D57</f>
        <v>1337433.42</v>
      </c>
      <c r="F57" s="9">
        <f>ROUND(E57*0.04,2)-0.01</f>
        <v>53497.329999999994</v>
      </c>
      <c r="G57" s="9">
        <f t="shared" ref="G57" si="640">ROUND(E57*0,2)</f>
        <v>0</v>
      </c>
      <c r="H57" s="9">
        <f t="shared" ref="H57" si="641">E57-F57-G57</f>
        <v>1283936.0899999999</v>
      </c>
      <c r="I57" s="9">
        <f t="shared" ref="I57" si="642">ROUND(H57*0,2)</f>
        <v>0</v>
      </c>
      <c r="J57" s="9">
        <f t="shared" ref="J57" si="643">ROUND((I57*0.58)+((I57*0.42)*0.1),2)</f>
        <v>0</v>
      </c>
      <c r="K57" s="9">
        <f t="shared" ref="K57" si="644">ROUND((I57*0.42)*0.9,2)</f>
        <v>0</v>
      </c>
      <c r="L57" s="66">
        <f t="shared" ref="L57" si="645">IF(J57+K57=I57,H57-I57,"ERROR")</f>
        <v>1283936.0899999999</v>
      </c>
      <c r="M57" s="9">
        <f t="shared" ref="M57" si="646">ROUND(L57*0.465,2)</f>
        <v>597030.28</v>
      </c>
      <c r="N57" s="9">
        <f>ROUND(L57*0.3,2)</f>
        <v>385180.83</v>
      </c>
      <c r="O57" s="9">
        <f>ROUND(L57*0.1285,2)</f>
        <v>164985.79</v>
      </c>
      <c r="P57" s="9">
        <f t="shared" ref="P57" si="647">ROUND((L57*0.07)*0.9,2)</f>
        <v>80887.97</v>
      </c>
      <c r="Q57" s="9">
        <f>ROUND(L57*0.01,2)</f>
        <v>12839.36</v>
      </c>
      <c r="R57" s="9">
        <f t="shared" ref="R57" si="648">ROUND((L57*0.0075)*0.9,2)</f>
        <v>8666.57</v>
      </c>
      <c r="S57" s="9">
        <f t="shared" ref="S57" si="649">ROUND((L57*0.0075)*0.9,2)</f>
        <v>8666.57</v>
      </c>
      <c r="T57" s="9">
        <f>ROUND(L57*0.01,2)</f>
        <v>12839.36</v>
      </c>
      <c r="U57" s="9">
        <f>ROUND(L57*0.01,2)</f>
        <v>12839.36</v>
      </c>
      <c r="V57" s="40">
        <f t="shared" ref="V57" si="650">E57/W57</f>
        <v>1941.122525399129</v>
      </c>
      <c r="W57" s="10">
        <v>689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 t="str">
        <f>Mountaineer!A58</f>
        <v>6/30/2022 ***</v>
      </c>
      <c r="B58" s="9">
        <v>9435508.5999999996</v>
      </c>
      <c r="C58" s="9">
        <v>8522635.1799999997</v>
      </c>
      <c r="D58" s="9">
        <v>149352</v>
      </c>
      <c r="E58" s="9">
        <f t="shared" ref="E58" si="651">B58-C58-D58</f>
        <v>763521.41999999993</v>
      </c>
      <c r="F58" s="9">
        <f>ROUND(E58*0.04,2)</f>
        <v>30540.86</v>
      </c>
      <c r="G58" s="9">
        <f t="shared" ref="G58" si="652">ROUND(E58*0,2)</f>
        <v>0</v>
      </c>
      <c r="H58" s="9">
        <f t="shared" ref="H58" si="653">E58-F58-G58</f>
        <v>732980.55999999994</v>
      </c>
      <c r="I58" s="9">
        <f t="shared" ref="I58" si="654">ROUND(H58*0,2)</f>
        <v>0</v>
      </c>
      <c r="J58" s="9">
        <f t="shared" ref="J58" si="655">ROUND((I58*0.58)+((I58*0.42)*0.1),2)</f>
        <v>0</v>
      </c>
      <c r="K58" s="9">
        <f t="shared" ref="K58" si="656">ROUND((I58*0.42)*0.9,2)</f>
        <v>0</v>
      </c>
      <c r="L58" s="66">
        <f t="shared" ref="L58" si="657">IF(J58+K58=I58,H58-I58,"ERROR")</f>
        <v>732980.55999999994</v>
      </c>
      <c r="M58" s="9">
        <f t="shared" ref="M58" si="658">ROUND(L58*0.465,2)</f>
        <v>340835.96</v>
      </c>
      <c r="N58" s="9">
        <f>ROUND(L58*0.3,2)+0.04</f>
        <v>219894.21000000002</v>
      </c>
      <c r="O58" s="9">
        <f>ROUND(L58*0.1285,2)-0.03</f>
        <v>94187.97</v>
      </c>
      <c r="P58" s="9">
        <f t="shared" ref="P58" si="659">ROUND((L58*0.07)*0.9,2)</f>
        <v>46177.78</v>
      </c>
      <c r="Q58" s="9">
        <f>ROUND(L58*0.01,2)-0.01</f>
        <v>7329.8</v>
      </c>
      <c r="R58" s="9">
        <f t="shared" ref="R58" si="660">ROUND((L58*0.0075)*0.9,2)</f>
        <v>4947.62</v>
      </c>
      <c r="S58" s="9">
        <f t="shared" ref="S58" si="661">ROUND((L58*0.0075)*0.9,2)</f>
        <v>4947.62</v>
      </c>
      <c r="T58" s="9">
        <f>ROUND(L58*0.01,2)-0.01</f>
        <v>7329.8</v>
      </c>
      <c r="U58" s="9">
        <f>ROUND(L58*0.01,2)-0.01</f>
        <v>7329.8</v>
      </c>
      <c r="V58" s="40">
        <f t="shared" ref="V58" si="662">E58/W58</f>
        <v>1090.7448857142856</v>
      </c>
      <c r="W58" s="10">
        <v>700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60" spans="1:96" ht="15" customHeight="1" thickBot="1" x14ac:dyDescent="0.3">
      <c r="B60" s="14">
        <f t="shared" ref="B60:U60" si="663">SUM(B6:B59)</f>
        <v>894878352.6500001</v>
      </c>
      <c r="C60" s="14">
        <f t="shared" si="663"/>
        <v>803624615.28999996</v>
      </c>
      <c r="D60" s="14">
        <f t="shared" si="663"/>
        <v>12802731.890000001</v>
      </c>
      <c r="E60" s="14">
        <f t="shared" si="663"/>
        <v>78451005.470000029</v>
      </c>
      <c r="F60" s="14">
        <f t="shared" si="663"/>
        <v>3138040.1799999992</v>
      </c>
      <c r="G60" s="14">
        <f t="shared" si="663"/>
        <v>0</v>
      </c>
      <c r="H60" s="14">
        <f t="shared" si="663"/>
        <v>75312965.290000007</v>
      </c>
      <c r="I60" s="14">
        <f t="shared" si="663"/>
        <v>0</v>
      </c>
      <c r="J60" s="14">
        <f t="shared" si="663"/>
        <v>0</v>
      </c>
      <c r="K60" s="14">
        <f t="shared" si="663"/>
        <v>0</v>
      </c>
      <c r="L60" s="14">
        <f t="shared" si="663"/>
        <v>75312965.290000007</v>
      </c>
      <c r="M60" s="14">
        <f t="shared" si="663"/>
        <v>35020528.899999991</v>
      </c>
      <c r="N60" s="14">
        <f t="shared" si="663"/>
        <v>22593889.539999999</v>
      </c>
      <c r="O60" s="14">
        <f t="shared" si="663"/>
        <v>9677716.1500000004</v>
      </c>
      <c r="P60" s="14">
        <f t="shared" si="663"/>
        <v>4744716.82</v>
      </c>
      <c r="Q60" s="14">
        <f t="shared" si="663"/>
        <v>753129.64000000025</v>
      </c>
      <c r="R60" s="14">
        <f t="shared" si="663"/>
        <v>508362.48</v>
      </c>
      <c r="S60" s="14">
        <f t="shared" si="663"/>
        <v>508362.48</v>
      </c>
      <c r="T60" s="14">
        <f t="shared" si="663"/>
        <v>1137786.5800000003</v>
      </c>
      <c r="U60" s="14">
        <f t="shared" si="663"/>
        <v>368472.70000000007</v>
      </c>
      <c r="V60" s="14">
        <f>AVERAGE(V6:V59)</f>
        <v>1516.3678857603541</v>
      </c>
      <c r="W60" s="16">
        <f>AVERAGE(W6:W59)</f>
        <v>982.90566037735846</v>
      </c>
    </row>
    <row r="61" spans="1:96" ht="15" customHeight="1" thickTop="1" x14ac:dyDescent="0.25"/>
    <row r="62" spans="1:96" ht="15" customHeight="1" x14ac:dyDescent="0.25">
      <c r="A62" s="1" t="s">
        <v>49</v>
      </c>
    </row>
    <row r="63" spans="1:96" ht="15" customHeight="1" x14ac:dyDescent="0.25">
      <c r="A63" s="1" t="s">
        <v>16</v>
      </c>
    </row>
    <row r="64" spans="1:96" ht="15" customHeight="1" x14ac:dyDescent="0.25">
      <c r="A64" s="1" t="s">
        <v>55</v>
      </c>
    </row>
  </sheetData>
  <mergeCells count="1">
    <mergeCell ref="A4:W4"/>
  </mergeCells>
  <pageMargins left="0.25" right="0.25" top="0.5" bottom="0.25" header="0" footer="0"/>
  <pageSetup paperSize="5" scale="52" orientation="landscape" r:id="rId1"/>
  <headerFooter>
    <oddHeader>&amp;CWHEELING ISLAND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zoomScaleNormal="100" workbookViewId="0">
      <pane ySplit="3" topLeftCell="A27" activePane="bottomLeft" state="frozen"/>
      <selection pane="bottomLeft" activeCell="A60" sqref="A60"/>
    </sheetView>
  </sheetViews>
  <sheetFormatPr defaultRowHeight="15" customHeight="1" x14ac:dyDescent="0.25"/>
  <cols>
    <col min="1" max="1" width="13.7109375" style="2" customWidth="1"/>
    <col min="2" max="2" width="16.42578125" style="2" customWidth="1"/>
    <col min="3" max="3" width="16.28515625" style="2" customWidth="1"/>
    <col min="4" max="4" width="14.7109375" style="2" customWidth="1"/>
    <col min="5" max="5" width="15.5703125" style="2" customWidth="1"/>
    <col min="6" max="6" width="14.7109375" style="2" customWidth="1"/>
    <col min="7" max="7" width="12.7109375" style="2" customWidth="1"/>
    <col min="8" max="8" width="15.42578125" style="2" customWidth="1"/>
    <col min="9" max="9" width="12.7109375" style="2" hidden="1" customWidth="1"/>
    <col min="10" max="11" width="12.7109375" style="2" customWidth="1"/>
    <col min="12" max="12" width="15.140625" style="2" customWidth="1"/>
    <col min="13" max="13" width="15.85546875" style="2" customWidth="1"/>
    <col min="14" max="14" width="16.85546875" style="2" customWidth="1"/>
    <col min="15" max="15" width="15.28515625" style="2" customWidth="1"/>
    <col min="16" max="16" width="15.140625" style="2" customWidth="1"/>
    <col min="17" max="23" width="13.7109375" style="2" customWidth="1"/>
    <col min="24" max="16384" width="9.140625" style="2"/>
  </cols>
  <sheetData>
    <row r="1" spans="1:96" s="3" customFormat="1" ht="45" x14ac:dyDescent="0.25">
      <c r="A1" s="3" t="s">
        <v>14</v>
      </c>
      <c r="B1" s="3" t="s">
        <v>18</v>
      </c>
      <c r="C1" s="3" t="s">
        <v>19</v>
      </c>
      <c r="D1" s="3" t="s">
        <v>21</v>
      </c>
      <c r="E1" s="3" t="s">
        <v>22</v>
      </c>
      <c r="F1" s="3" t="s">
        <v>20</v>
      </c>
      <c r="G1" s="3" t="s">
        <v>23</v>
      </c>
      <c r="H1" s="3" t="s">
        <v>24</v>
      </c>
      <c r="I1" s="3" t="s">
        <v>15</v>
      </c>
      <c r="J1" s="3" t="s">
        <v>25</v>
      </c>
      <c r="K1" s="3" t="s">
        <v>26</v>
      </c>
      <c r="L1" s="3" t="s">
        <v>27</v>
      </c>
      <c r="M1" s="3" t="s">
        <v>12</v>
      </c>
      <c r="N1" s="3" t="s">
        <v>28</v>
      </c>
      <c r="O1" s="3" t="s">
        <v>23</v>
      </c>
      <c r="P1" s="3" t="s">
        <v>29</v>
      </c>
      <c r="Q1" s="3" t="s">
        <v>30</v>
      </c>
      <c r="R1" s="3" t="s">
        <v>31</v>
      </c>
      <c r="S1" s="3" t="s">
        <v>32</v>
      </c>
      <c r="T1" s="3" t="s">
        <v>39</v>
      </c>
      <c r="U1" s="3" t="s">
        <v>40</v>
      </c>
      <c r="V1" s="3" t="s">
        <v>33</v>
      </c>
      <c r="W1" s="3" t="s">
        <v>36</v>
      </c>
    </row>
    <row r="2" spans="1:96" s="65" customFormat="1" ht="15" customHeight="1" x14ac:dyDescent="0.25">
      <c r="A2" s="65" t="s">
        <v>46</v>
      </c>
      <c r="B2" s="5">
        <v>521620193.44999993</v>
      </c>
      <c r="C2" s="5">
        <v>473438184.03000003</v>
      </c>
      <c r="D2" s="5">
        <v>4141027</v>
      </c>
      <c r="E2" s="5">
        <v>44040982.420000009</v>
      </c>
      <c r="F2" s="5">
        <v>1761639.3300000008</v>
      </c>
      <c r="G2" s="5">
        <v>0</v>
      </c>
      <c r="H2" s="5">
        <v>42279343.089999996</v>
      </c>
      <c r="I2" s="5">
        <v>0</v>
      </c>
      <c r="J2" s="5">
        <v>0</v>
      </c>
      <c r="K2" s="5">
        <v>0</v>
      </c>
      <c r="L2" s="5">
        <v>42279343.089999996</v>
      </c>
      <c r="M2" s="5">
        <v>19659894.529999997</v>
      </c>
      <c r="N2" s="5">
        <v>12683803.020000001</v>
      </c>
      <c r="O2" s="5">
        <v>5432895.4900000012</v>
      </c>
      <c r="P2" s="5">
        <v>2663598.6400000006</v>
      </c>
      <c r="Q2" s="5">
        <v>422793.41000000003</v>
      </c>
      <c r="R2" s="5">
        <v>285385.59000000003</v>
      </c>
      <c r="S2" s="5">
        <v>285385.59000000003</v>
      </c>
      <c r="T2" s="5">
        <v>652984.91999999993</v>
      </c>
      <c r="U2" s="9">
        <v>192601.90000000005</v>
      </c>
      <c r="V2" s="9">
        <v>1542.66</v>
      </c>
      <c r="W2" s="10">
        <v>539</v>
      </c>
    </row>
    <row r="3" spans="1:96" s="4" customFormat="1" ht="15" customHeight="1" x14ac:dyDescent="0.25"/>
    <row r="4" spans="1:96" s="4" customFormat="1" ht="15" customHeight="1" x14ac:dyDescent="0.25">
      <c r="A4" s="72" t="s">
        <v>47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</row>
    <row r="5" spans="1:96" s="42" customFormat="1" ht="15" customHeight="1" x14ac:dyDescent="0.25"/>
    <row r="6" spans="1:96" ht="15" customHeight="1" x14ac:dyDescent="0.25">
      <c r="A6" s="8" t="str">
        <f>Mountaineer!A6</f>
        <v>7/3/2021 *</v>
      </c>
      <c r="B6" s="9">
        <v>7643979.8700000001</v>
      </c>
      <c r="C6" s="9">
        <v>6827204.5800000001</v>
      </c>
      <c r="D6" s="9">
        <v>56652</v>
      </c>
      <c r="E6" s="9">
        <f t="shared" ref="E6" si="0">B6-C6-D6</f>
        <v>760123.29</v>
      </c>
      <c r="F6" s="9">
        <f>ROUND(E6*0.04,2)</f>
        <v>30404.93</v>
      </c>
      <c r="G6" s="9">
        <f t="shared" ref="G6" si="1">ROUND(E6*0,2)</f>
        <v>0</v>
      </c>
      <c r="H6" s="9">
        <f t="shared" ref="H6" si="2">E6-F6-G6</f>
        <v>729718.36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9">
        <f t="shared" ref="L6" si="6">IF(J6+K6=I6,H6-I6,"ERROR")</f>
        <v>729718.36</v>
      </c>
      <c r="M6" s="9">
        <f t="shared" ref="M6" si="7">ROUND(L6*0.465,2)</f>
        <v>339319.03999999998</v>
      </c>
      <c r="N6" s="9">
        <f>ROUND(L6*0.3,2)+0.01</f>
        <v>218915.52000000002</v>
      </c>
      <c r="O6" s="9">
        <f>ROUND(L6*0.1285,2)-0.01</f>
        <v>93768.8</v>
      </c>
      <c r="P6" s="9">
        <f t="shared" ref="P6" si="8">ROUND((L6*0.07)*0.9,2)</f>
        <v>45972.26</v>
      </c>
      <c r="Q6" s="9">
        <f>ROUND(L6*0.01,2)</f>
        <v>7297.18</v>
      </c>
      <c r="R6" s="9">
        <f t="shared" ref="R6" si="9">ROUND((L6*0.0075)*0.9,2)</f>
        <v>4925.6000000000004</v>
      </c>
      <c r="S6" s="9">
        <f t="shared" ref="S6" si="10">ROUND((L6*0.0075)*0.9,2)</f>
        <v>4925.6000000000004</v>
      </c>
      <c r="T6" s="9">
        <f>ROUND(L6*0.02,2)-0.01</f>
        <v>14594.36</v>
      </c>
      <c r="U6" s="9">
        <f t="shared" ref="U6" si="11">ROUND(L6*0,2)</f>
        <v>0</v>
      </c>
      <c r="V6" s="40">
        <f t="shared" ref="V6" si="12">E6/W6</f>
        <v>1114.5502785923754</v>
      </c>
      <c r="W6" s="10">
        <v>682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f>Mountaineer!A7</f>
        <v>44387</v>
      </c>
      <c r="B7" s="9">
        <v>11869769.27</v>
      </c>
      <c r="C7" s="9">
        <v>10736605.751</v>
      </c>
      <c r="D7" s="9">
        <v>94017</v>
      </c>
      <c r="E7" s="9">
        <f t="shared" ref="E7" si="13">B7-C7-D7</f>
        <v>1039146.5189999994</v>
      </c>
      <c r="F7" s="9">
        <f>ROUND(E7*0.04,2)+0.01</f>
        <v>41565.870000000003</v>
      </c>
      <c r="G7" s="9">
        <f t="shared" ref="G7" si="14">ROUND(E7*0,2)</f>
        <v>0</v>
      </c>
      <c r="H7" s="9">
        <f t="shared" ref="H7" si="15">E7-F7-G7</f>
        <v>997580.64899999939</v>
      </c>
      <c r="I7" s="9">
        <f t="shared" ref="I7" si="16">ROUND(H7*0,2)</f>
        <v>0</v>
      </c>
      <c r="J7" s="9">
        <f t="shared" ref="J7" si="17">ROUND((I7*0.58)+((I7*0.42)*0.1),2)</f>
        <v>0</v>
      </c>
      <c r="K7" s="9">
        <f t="shared" ref="K7" si="18">ROUND((I7*0.42)*0.9,2)</f>
        <v>0</v>
      </c>
      <c r="L7" s="9">
        <f t="shared" ref="L7" si="19">IF(J7+K7=I7,H7-I7,"ERROR")</f>
        <v>997580.64899999939</v>
      </c>
      <c r="M7" s="9">
        <f t="shared" ref="M7" si="20">ROUND(L7*0.465,2)</f>
        <v>463875</v>
      </c>
      <c r="N7" s="9">
        <f>ROUND(L7*0.3,2)+0.04</f>
        <v>299274.23</v>
      </c>
      <c r="O7" s="9">
        <f>ROUND(L7*0.1285,2)-0.01</f>
        <v>128189.1</v>
      </c>
      <c r="P7" s="9">
        <f t="shared" ref="P7" si="21">ROUND((L7*0.07)*0.9,2)</f>
        <v>62847.58</v>
      </c>
      <c r="Q7" s="9">
        <f>ROUND(L7*0.01,2)-0.01</f>
        <v>9975.7999999999993</v>
      </c>
      <c r="R7" s="9">
        <f t="shared" ref="R7" si="22">ROUND((L7*0.0075)*0.9,2)</f>
        <v>6733.67</v>
      </c>
      <c r="S7" s="9">
        <f t="shared" ref="S7" si="23">ROUND((L7*0.0075)*0.9,2)</f>
        <v>6733.67</v>
      </c>
      <c r="T7" s="9">
        <f>ROUND(L7*0.02,2)-0.01</f>
        <v>19951.600000000002</v>
      </c>
      <c r="U7" s="9">
        <f t="shared" ref="U7" si="24">ROUND(L7*0,2)</f>
        <v>0</v>
      </c>
      <c r="V7" s="40">
        <f t="shared" ref="V7" si="25">E7/W7</f>
        <v>1569.7077326283979</v>
      </c>
      <c r="W7" s="10">
        <v>662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44394</v>
      </c>
      <c r="B8" s="9">
        <v>12076874.040000001</v>
      </c>
      <c r="C8" s="9">
        <v>10995929.439999999</v>
      </c>
      <c r="D8" s="9">
        <v>91737</v>
      </c>
      <c r="E8" s="9">
        <f t="shared" ref="E8" si="26">B8-C8-D8</f>
        <v>989207.60000000149</v>
      </c>
      <c r="F8" s="9">
        <f>ROUND(E8*0.04,2)-0.01</f>
        <v>39568.29</v>
      </c>
      <c r="G8" s="9">
        <f t="shared" ref="G8" si="27">ROUND(E8*0,2)</f>
        <v>0</v>
      </c>
      <c r="H8" s="9">
        <f t="shared" ref="H8" si="28">E8-F8-G8</f>
        <v>949639.31000000145</v>
      </c>
      <c r="I8" s="9">
        <f t="shared" ref="I8" si="29">ROUND(H8*0,2)</f>
        <v>0</v>
      </c>
      <c r="J8" s="9">
        <f t="shared" ref="J8" si="30">ROUND((I8*0.58)+((I8*0.42)*0.1),2)</f>
        <v>0</v>
      </c>
      <c r="K8" s="9">
        <f t="shared" ref="K8" si="31">ROUND((I8*0.42)*0.9,2)</f>
        <v>0</v>
      </c>
      <c r="L8" s="9">
        <f t="shared" ref="L8" si="32">IF(J8+K8=I8,H8-I8,"ERROR")</f>
        <v>949639.31000000145</v>
      </c>
      <c r="M8" s="9">
        <f t="shared" ref="M8" si="33">ROUND(L8*0.465,2)</f>
        <v>441582.28</v>
      </c>
      <c r="N8" s="9">
        <f>ROUND(L8*0.3,2)-0.02</f>
        <v>284891.76999999996</v>
      </c>
      <c r="O8" s="9">
        <f>ROUND(L8*0.1285,2)-0.01</f>
        <v>122028.64</v>
      </c>
      <c r="P8" s="9">
        <f t="shared" ref="P8" si="34">ROUND((L8*0.07)*0.9,2)</f>
        <v>59827.28</v>
      </c>
      <c r="Q8" s="9">
        <f>ROUND(L8*0.01,2)+0.01</f>
        <v>9496.4</v>
      </c>
      <c r="R8" s="9">
        <f t="shared" ref="R8" si="35">ROUND((L8*0.0075)*0.9,2)</f>
        <v>6410.07</v>
      </c>
      <c r="S8" s="9">
        <f t="shared" ref="S8" si="36">ROUND((L8*0.0075)*0.9,2)</f>
        <v>6410.07</v>
      </c>
      <c r="T8" s="9">
        <f>ROUND(L8*0.02,2)+0.01</f>
        <v>18992.8</v>
      </c>
      <c r="U8" s="9">
        <f t="shared" ref="U8" si="37">ROUND(L8*0,2)</f>
        <v>0</v>
      </c>
      <c r="V8" s="40">
        <f t="shared" ref="V8" si="38">E8/W8</f>
        <v>1498.7993939393962</v>
      </c>
      <c r="W8" s="10">
        <v>660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44401</v>
      </c>
      <c r="B9" s="9">
        <v>11770757.48</v>
      </c>
      <c r="C9" s="9">
        <v>10583889.609999999</v>
      </c>
      <c r="D9" s="9">
        <v>91929</v>
      </c>
      <c r="E9" s="9">
        <f t="shared" ref="E9" si="39">B9-C9-D9</f>
        <v>1094938.870000001</v>
      </c>
      <c r="F9" s="9">
        <f>ROUND(E9*0.04,2)</f>
        <v>43797.55</v>
      </c>
      <c r="G9" s="9">
        <f t="shared" ref="G9" si="40">ROUND(E9*0,2)</f>
        <v>0</v>
      </c>
      <c r="H9" s="9">
        <f t="shared" ref="H9" si="41">E9-F9-G9</f>
        <v>1051141.320000001</v>
      </c>
      <c r="I9" s="9">
        <f t="shared" ref="I9" si="42">ROUND(H9*0,2)</f>
        <v>0</v>
      </c>
      <c r="J9" s="9">
        <f t="shared" ref="J9" si="43">ROUND((I9*0.58)+((I9*0.42)*0.1),2)</f>
        <v>0</v>
      </c>
      <c r="K9" s="9">
        <f t="shared" ref="K9" si="44">ROUND((I9*0.42)*0.9,2)</f>
        <v>0</v>
      </c>
      <c r="L9" s="9">
        <f t="shared" ref="L9" si="45">IF(J9+K9=I9,H9-I9,"ERROR")</f>
        <v>1051141.320000001</v>
      </c>
      <c r="M9" s="9">
        <f t="shared" ref="M9" si="46">ROUND(L9*0.465,2)</f>
        <v>488780.71</v>
      </c>
      <c r="N9" s="9">
        <f>ROUND(L9*0.3,2)-0.03</f>
        <v>315342.37</v>
      </c>
      <c r="O9" s="9">
        <f>ROUND(L9*0.1285,2)+0.02</f>
        <v>135071.67999999999</v>
      </c>
      <c r="P9" s="9">
        <f t="shared" ref="P9" si="47">ROUND((L9*0.07)*0.9,2)</f>
        <v>66221.899999999994</v>
      </c>
      <c r="Q9" s="9">
        <f>ROUND(L9*0.01,2)+0.01</f>
        <v>10511.42</v>
      </c>
      <c r="R9" s="9">
        <f t="shared" ref="R9" si="48">ROUND((L9*0.0075)*0.9,2)</f>
        <v>7095.2</v>
      </c>
      <c r="S9" s="9">
        <f t="shared" ref="S9" si="49">ROUND((L9*0.0075)*0.9,2)</f>
        <v>7095.2</v>
      </c>
      <c r="T9" s="9">
        <f>ROUND(L9*0.02,2)+0.01</f>
        <v>21022.84</v>
      </c>
      <c r="U9" s="9">
        <f t="shared" ref="U9" si="50">ROUND(L9*0,2)</f>
        <v>0</v>
      </c>
      <c r="V9" s="40">
        <f t="shared" ref="V9" si="51">E9/W9</f>
        <v>1651.4915082956275</v>
      </c>
      <c r="W9" s="10">
        <v>663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44408</v>
      </c>
      <c r="B10" s="9">
        <v>12208997.48</v>
      </c>
      <c r="C10" s="9">
        <v>11044421.369999999</v>
      </c>
      <c r="D10" s="9">
        <v>89453</v>
      </c>
      <c r="E10" s="9">
        <f t="shared" ref="E10" si="52">B10-C10-D10</f>
        <v>1075123.1100000013</v>
      </c>
      <c r="F10" s="9">
        <f>ROUND(E10*0.04,2)+0.01</f>
        <v>43004.93</v>
      </c>
      <c r="G10" s="9">
        <f t="shared" ref="G10" si="53">ROUND(E10*0,2)</f>
        <v>0</v>
      </c>
      <c r="H10" s="9">
        <f t="shared" ref="H10" si="54">E10-F10-G10</f>
        <v>1032118.1800000012</v>
      </c>
      <c r="I10" s="9">
        <f t="shared" ref="I10" si="55">ROUND(H10*0,2)</f>
        <v>0</v>
      </c>
      <c r="J10" s="9">
        <f t="shared" ref="J10" si="56">ROUND((I10*0.58)+((I10*0.42)*0.1),2)</f>
        <v>0</v>
      </c>
      <c r="K10" s="9">
        <f t="shared" ref="K10" si="57">ROUND((I10*0.42)*0.9,2)</f>
        <v>0</v>
      </c>
      <c r="L10" s="9">
        <f t="shared" ref="L10" si="58">IF(J10+K10=I10,H10-I10,"ERROR")</f>
        <v>1032118.1800000012</v>
      </c>
      <c r="M10" s="9">
        <f t="shared" ref="M10" si="59">ROUND(L10*0.465,2)</f>
        <v>479934.95</v>
      </c>
      <c r="N10" s="9">
        <f>ROUND(L10*0.3,2)+0.03</f>
        <v>309635.48000000004</v>
      </c>
      <c r="O10" s="9">
        <f>ROUND(L10*0.1285,2)-0.03</f>
        <v>132627.16</v>
      </c>
      <c r="P10" s="9">
        <f t="shared" ref="P10" si="60">ROUND((L10*0.07)*0.9,2)</f>
        <v>65023.45</v>
      </c>
      <c r="Q10" s="9">
        <f>ROUND(L10*0.01,2)</f>
        <v>10321.18</v>
      </c>
      <c r="R10" s="9">
        <f t="shared" ref="R10" si="61">ROUND((L10*0.0075)*0.9,2)</f>
        <v>6966.8</v>
      </c>
      <c r="S10" s="9">
        <f t="shared" ref="S10" si="62">ROUND((L10*0.0075)*0.9,2)</f>
        <v>6966.8</v>
      </c>
      <c r="T10" s="9">
        <f>ROUND(L10*0.02,2)</f>
        <v>20642.36</v>
      </c>
      <c r="U10" s="9">
        <f t="shared" ref="U10" si="63">ROUND(L10*0,2)</f>
        <v>0</v>
      </c>
      <c r="V10" s="40">
        <f t="shared" ref="V10" si="64">E10/W10</f>
        <v>1576.4268475073332</v>
      </c>
      <c r="W10" s="10">
        <v>682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44415</v>
      </c>
      <c r="B11" s="9">
        <v>11887121.02</v>
      </c>
      <c r="C11" s="9">
        <v>10695810.549999999</v>
      </c>
      <c r="D11" s="9">
        <v>106110</v>
      </c>
      <c r="E11" s="9">
        <f t="shared" ref="E11" si="65">B11-C11-D11</f>
        <v>1085200.4700000007</v>
      </c>
      <c r="F11" s="9">
        <f>ROUND(E11*0.04,2)</f>
        <v>43408.02</v>
      </c>
      <c r="G11" s="9">
        <f t="shared" ref="G11" si="66">ROUND(E11*0,2)</f>
        <v>0</v>
      </c>
      <c r="H11" s="9">
        <f t="shared" ref="H11" si="67">E11-F11-G11</f>
        <v>1041792.4500000007</v>
      </c>
      <c r="I11" s="9">
        <f t="shared" ref="I11" si="68">ROUND(H11*0,2)</f>
        <v>0</v>
      </c>
      <c r="J11" s="9">
        <f t="shared" ref="J11" si="69">ROUND((I11*0.58)+((I11*0.42)*0.1),2)</f>
        <v>0</v>
      </c>
      <c r="K11" s="9">
        <f t="shared" ref="K11" si="70">ROUND((I11*0.42)*0.9,2)</f>
        <v>0</v>
      </c>
      <c r="L11" s="9">
        <f t="shared" ref="L11" si="71">IF(J11+K11=I11,H11-I11,"ERROR")</f>
        <v>1041792.4500000007</v>
      </c>
      <c r="M11" s="9">
        <f t="shared" ref="M11" si="72">ROUND(L11*0.465,2)</f>
        <v>484433.49</v>
      </c>
      <c r="N11" s="9">
        <f>ROUND(L11*0.3,2)+0.03</f>
        <v>312537.77</v>
      </c>
      <c r="O11" s="9">
        <f>ROUND(L11*0.1285,2)-0.02</f>
        <v>133870.31</v>
      </c>
      <c r="P11" s="9">
        <f t="shared" ref="P11" si="73">ROUND((L11*0.07)*0.9,2)</f>
        <v>65632.92</v>
      </c>
      <c r="Q11" s="9">
        <f>ROUND(L11*0.01,2)</f>
        <v>10417.92</v>
      </c>
      <c r="R11" s="9">
        <f t="shared" ref="R11" si="74">ROUND((L11*0.0075)*0.9,2)</f>
        <v>7032.1</v>
      </c>
      <c r="S11" s="9">
        <f t="shared" ref="S11" si="75">ROUND((L11*0.0075)*0.9,2)</f>
        <v>7032.1</v>
      </c>
      <c r="T11" s="9">
        <f>ROUND(L11*0.02,2)-0.01</f>
        <v>20835.84</v>
      </c>
      <c r="U11" s="9">
        <f t="shared" ref="U11" si="76">ROUND(L11*0,2)</f>
        <v>0</v>
      </c>
      <c r="V11" s="40">
        <f t="shared" ref="V11" si="77">E11/W11</f>
        <v>1577.3262645348848</v>
      </c>
      <c r="W11" s="10">
        <v>688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44422</v>
      </c>
      <c r="B12" s="9">
        <v>11637362.969999999</v>
      </c>
      <c r="C12" s="9">
        <v>10595744.109999999</v>
      </c>
      <c r="D12" s="9">
        <v>94824</v>
      </c>
      <c r="E12" s="9">
        <f t="shared" ref="E12" si="78">B12-C12-D12</f>
        <v>946794.8599999994</v>
      </c>
      <c r="F12" s="9">
        <f>ROUND(E12*0.04,2)</f>
        <v>37871.79</v>
      </c>
      <c r="G12" s="9">
        <f t="shared" ref="G12" si="79">ROUND(E12*0,2)</f>
        <v>0</v>
      </c>
      <c r="H12" s="9">
        <f t="shared" ref="H12" si="80">E12-F12-G12</f>
        <v>908923.06999999937</v>
      </c>
      <c r="I12" s="9">
        <f t="shared" ref="I12" si="81">ROUND(H12*0,2)</f>
        <v>0</v>
      </c>
      <c r="J12" s="9">
        <f t="shared" ref="J12" si="82">ROUND((I12*0.58)+((I12*0.42)*0.1),2)</f>
        <v>0</v>
      </c>
      <c r="K12" s="9">
        <f t="shared" ref="K12" si="83">ROUND((I12*0.42)*0.9,2)</f>
        <v>0</v>
      </c>
      <c r="L12" s="9">
        <f t="shared" ref="L12" si="84">IF(J12+K12=I12,H12-I12,"ERROR")</f>
        <v>908923.06999999937</v>
      </c>
      <c r="M12" s="9">
        <f t="shared" ref="M12" si="85">ROUND(L12*0.465,2)</f>
        <v>422649.23</v>
      </c>
      <c r="N12" s="9">
        <f>ROUND(L12*0.3,2)-0.04</f>
        <v>272676.88</v>
      </c>
      <c r="O12" s="9">
        <f>ROUND(L12*0.1285,2)+0.02</f>
        <v>116796.63</v>
      </c>
      <c r="P12" s="9">
        <f t="shared" ref="P12" si="86">ROUND((L12*0.07)*0.9,2)</f>
        <v>57262.15</v>
      </c>
      <c r="Q12" s="9">
        <f>ROUND(L12*0.01,2)+0.01</f>
        <v>9089.24</v>
      </c>
      <c r="R12" s="9">
        <f t="shared" ref="R12" si="87">ROUND((L12*0.0075)*0.9,2)</f>
        <v>6135.23</v>
      </c>
      <c r="S12" s="9">
        <f t="shared" ref="S12" si="88">ROUND((L12*0.0075)*0.9,2)</f>
        <v>6135.23</v>
      </c>
      <c r="T12" s="9">
        <f>ROUND(L12*0.02,2)+0.02</f>
        <v>18178.48</v>
      </c>
      <c r="U12" s="9">
        <f t="shared" ref="U12" si="89">ROUND(L12*0,2)</f>
        <v>0</v>
      </c>
      <c r="V12" s="40">
        <f t="shared" ref="V12" si="90">E12/W12</f>
        <v>1366.2263492063485</v>
      </c>
      <c r="W12" s="10">
        <v>693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44429</v>
      </c>
      <c r="B13" s="9">
        <v>11887371.75</v>
      </c>
      <c r="C13" s="9">
        <v>10738776.49</v>
      </c>
      <c r="D13" s="9">
        <v>100701</v>
      </c>
      <c r="E13" s="9">
        <f t="shared" ref="E13" si="91">B13-C13-D13</f>
        <v>1047894.2599999998</v>
      </c>
      <c r="F13" s="9">
        <f>ROUND(E13*0.04,2)-0.01</f>
        <v>41915.759999999995</v>
      </c>
      <c r="G13" s="9">
        <f t="shared" ref="G13" si="92">ROUND(E13*0,2)</f>
        <v>0</v>
      </c>
      <c r="H13" s="9">
        <f t="shared" ref="H13" si="93">E13-F13-G13</f>
        <v>1005978.4999999998</v>
      </c>
      <c r="I13" s="9">
        <f t="shared" ref="I13" si="94">ROUND(H13*0,2)</f>
        <v>0</v>
      </c>
      <c r="J13" s="9">
        <f t="shared" ref="J13" si="95">ROUND((I13*0.58)+((I13*0.42)*0.1),2)</f>
        <v>0</v>
      </c>
      <c r="K13" s="9">
        <f t="shared" ref="K13" si="96">ROUND((I13*0.42)*0.9,2)</f>
        <v>0</v>
      </c>
      <c r="L13" s="9">
        <f t="shared" ref="L13" si="97">IF(J13+K13=I13,H13-I13,"ERROR")</f>
        <v>1005978.4999999998</v>
      </c>
      <c r="M13" s="9">
        <f t="shared" ref="M13" si="98">ROUND(L13*0.465,2)</f>
        <v>467780</v>
      </c>
      <c r="N13" s="9">
        <f>ROUND(L13*0.3,2)+0.02</f>
        <v>301793.57</v>
      </c>
      <c r="O13" s="9">
        <f>ROUND(L13*0.1285,2)</f>
        <v>129268.24</v>
      </c>
      <c r="P13" s="9">
        <f t="shared" ref="P13" si="99">ROUND((L13*0.07)*0.9,2)</f>
        <v>63376.65</v>
      </c>
      <c r="Q13" s="9">
        <f>ROUND(L13*0.01,2)-0.01</f>
        <v>10059.780000000001</v>
      </c>
      <c r="R13" s="9">
        <f t="shared" ref="R13" si="100">ROUND((L13*0.0075)*0.9,2)</f>
        <v>6790.35</v>
      </c>
      <c r="S13" s="9">
        <f t="shared" ref="S13" si="101">ROUND((L13*0.0075)*0.9,2)</f>
        <v>6790.35</v>
      </c>
      <c r="T13" s="9">
        <f>ROUND(L13*0.02,2)-0.01</f>
        <v>20119.560000000001</v>
      </c>
      <c r="U13" s="9">
        <f t="shared" ref="U13" si="102">ROUND(L13*0,2)</f>
        <v>0</v>
      </c>
      <c r="V13" s="40">
        <f t="shared" ref="V13" si="103">E13/W13</f>
        <v>1507.7615251798559</v>
      </c>
      <c r="W13" s="10">
        <v>695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44436</v>
      </c>
      <c r="B14" s="9">
        <v>10613157.07</v>
      </c>
      <c r="C14" s="9">
        <v>9534771.0300000012</v>
      </c>
      <c r="D14" s="9">
        <v>99473</v>
      </c>
      <c r="E14" s="9">
        <f t="shared" ref="E14" si="104">B14-C14-D14</f>
        <v>978913.03999999911</v>
      </c>
      <c r="F14" s="9">
        <f>ROUND(E14*0.04,2)+0.01</f>
        <v>39156.53</v>
      </c>
      <c r="G14" s="9">
        <f t="shared" ref="G14" si="105">ROUND(E14*0,2)</f>
        <v>0</v>
      </c>
      <c r="H14" s="9">
        <f t="shared" ref="H14" si="106">E14-F14-G14</f>
        <v>939756.50999999908</v>
      </c>
      <c r="I14" s="9">
        <f t="shared" ref="I14" si="107">ROUND(H14*0,2)</f>
        <v>0</v>
      </c>
      <c r="J14" s="9">
        <f t="shared" ref="J14" si="108">ROUND((I14*0.58)+((I14*0.42)*0.1),2)</f>
        <v>0</v>
      </c>
      <c r="K14" s="9">
        <f t="shared" ref="K14" si="109">ROUND((I14*0.42)*0.9,2)</f>
        <v>0</v>
      </c>
      <c r="L14" s="9">
        <f t="shared" ref="L14" si="110">IF(J14+K14=I14,H14-I14,"ERROR")</f>
        <v>939756.50999999908</v>
      </c>
      <c r="M14" s="9">
        <f t="shared" ref="M14" si="111">ROUND(L14*0.465,2)</f>
        <v>436986.78</v>
      </c>
      <c r="N14" s="9">
        <f>ROUND(L14*0.3,2)+0.02</f>
        <v>281926.97000000003</v>
      </c>
      <c r="O14" s="9">
        <f>ROUND(L14*0.1285,2)-0.01</f>
        <v>120758.70000000001</v>
      </c>
      <c r="P14" s="9">
        <f t="shared" ref="P14" si="112">ROUND((L14*0.07)*0.9,2)</f>
        <v>59204.66</v>
      </c>
      <c r="Q14" s="9">
        <f>ROUND(L14*0.01,2)-0.01</f>
        <v>9397.56</v>
      </c>
      <c r="R14" s="9">
        <f t="shared" ref="R14" si="113">ROUND((L14*0.0075)*0.9,2)</f>
        <v>6343.36</v>
      </c>
      <c r="S14" s="9">
        <f t="shared" ref="S14" si="114">ROUND((L14*0.0075)*0.9,2)</f>
        <v>6343.36</v>
      </c>
      <c r="T14" s="9">
        <f>ROUND(L14*0.02,2)-0.01</f>
        <v>18795.120000000003</v>
      </c>
      <c r="U14" s="9">
        <f t="shared" ref="U14" si="115">ROUND(L14*0,2)</f>
        <v>0</v>
      </c>
      <c r="V14" s="40">
        <f t="shared" ref="V14" si="116">E14/W14</f>
        <v>1433.2548169838933</v>
      </c>
      <c r="W14" s="10">
        <v>683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44443</v>
      </c>
      <c r="B15" s="9">
        <v>10411758.08</v>
      </c>
      <c r="C15" s="9">
        <v>9432585.7699999996</v>
      </c>
      <c r="D15" s="9">
        <v>88891</v>
      </c>
      <c r="E15" s="9">
        <f t="shared" ref="E15" si="117">B15-C15-D15</f>
        <v>890281.31000000052</v>
      </c>
      <c r="F15" s="9">
        <f>ROUND(E15*0.04,2)-0.01</f>
        <v>35611.24</v>
      </c>
      <c r="G15" s="9">
        <f t="shared" ref="G15" si="118">ROUND(E15*0,2)</f>
        <v>0</v>
      </c>
      <c r="H15" s="9">
        <f t="shared" ref="H15" si="119">E15-F15-G15</f>
        <v>854670.07000000053</v>
      </c>
      <c r="I15" s="9">
        <f t="shared" ref="I15" si="120">ROUND(H15*0,2)</f>
        <v>0</v>
      </c>
      <c r="J15" s="9">
        <f t="shared" ref="J15" si="121">ROUND((I15*0.58)+((I15*0.42)*0.1),2)</f>
        <v>0</v>
      </c>
      <c r="K15" s="9">
        <f t="shared" ref="K15" si="122">ROUND((I15*0.42)*0.9,2)</f>
        <v>0</v>
      </c>
      <c r="L15" s="9">
        <f t="shared" ref="L15" si="123">IF(J15+K15=I15,H15-I15,"ERROR")</f>
        <v>854670.07000000053</v>
      </c>
      <c r="M15" s="9">
        <f t="shared" ref="M15" si="124">ROUND(L15*0.465,2)</f>
        <v>397421.58</v>
      </c>
      <c r="N15" s="9">
        <f>ROUND(L15*0.3,2)+0.01</f>
        <v>256401.03</v>
      </c>
      <c r="O15" s="9">
        <f>ROUND(L15*0.1285,2)+0.01</f>
        <v>109825.11</v>
      </c>
      <c r="P15" s="9">
        <f t="shared" ref="P15" si="125">ROUND((L15*0.07)*0.9,2)</f>
        <v>53844.21</v>
      </c>
      <c r="Q15" s="9">
        <f>ROUND(L15*0.01,2)</f>
        <v>8546.7000000000007</v>
      </c>
      <c r="R15" s="9">
        <f t="shared" ref="R15" si="126">ROUND((L15*0.0075)*0.9,2)</f>
        <v>5769.02</v>
      </c>
      <c r="S15" s="9">
        <f t="shared" ref="S15" si="127">ROUND((L15*0.0075)*0.9,2)</f>
        <v>5769.02</v>
      </c>
      <c r="T15" s="9">
        <f>ROUND(L15*0.02,2)</f>
        <v>17093.400000000001</v>
      </c>
      <c r="U15" s="9">
        <f t="shared" ref="U15" si="128">ROUND(L15*0,2)</f>
        <v>0</v>
      </c>
      <c r="V15" s="40">
        <f t="shared" ref="V15" si="129">E15/W15</f>
        <v>1311.1654050073646</v>
      </c>
      <c r="W15" s="10">
        <v>679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44450</v>
      </c>
      <c r="B16" s="9">
        <v>12401956.92</v>
      </c>
      <c r="C16" s="9">
        <v>11166129.760000002</v>
      </c>
      <c r="D16" s="9">
        <v>104851</v>
      </c>
      <c r="E16" s="9">
        <f t="shared" ref="E16" si="130">B16-C16-D16</f>
        <v>1130976.1599999983</v>
      </c>
      <c r="F16" s="9">
        <f>ROUND(E16*0.04,2)+0.01</f>
        <v>45239.060000000005</v>
      </c>
      <c r="G16" s="9">
        <f t="shared" ref="G16" si="131">ROUND(E16*0,2)</f>
        <v>0</v>
      </c>
      <c r="H16" s="9">
        <f t="shared" ref="H16" si="132">E16-F16-G16</f>
        <v>1085737.0999999982</v>
      </c>
      <c r="I16" s="9">
        <f t="shared" ref="I16" si="133">ROUND(H16*0,2)</f>
        <v>0</v>
      </c>
      <c r="J16" s="9">
        <f t="shared" ref="J16" si="134">ROUND((I16*0.58)+((I16*0.42)*0.1),2)</f>
        <v>0</v>
      </c>
      <c r="K16" s="9">
        <f t="shared" ref="K16" si="135">ROUND((I16*0.42)*0.9,2)</f>
        <v>0</v>
      </c>
      <c r="L16" s="9">
        <f t="shared" ref="L16" si="136">IF(J16+K16=I16,H16-I16,"ERROR")</f>
        <v>1085737.0999999982</v>
      </c>
      <c r="M16" s="9">
        <f t="shared" ref="M16" si="137">ROUND(L16*0.465,2)</f>
        <v>504867.75</v>
      </c>
      <c r="N16" s="9">
        <f>ROUND(L16*0.3,2)-0.06</f>
        <v>325721.07</v>
      </c>
      <c r="O16" s="9">
        <f>ROUND(L16*0.1285,2)+0.02</f>
        <v>139517.24</v>
      </c>
      <c r="P16" s="9">
        <f t="shared" ref="P16" si="138">ROUND((L16*0.07)*0.9,2)</f>
        <v>68401.440000000002</v>
      </c>
      <c r="Q16" s="9">
        <f>ROUND(L16*0.01,2)+0.01</f>
        <v>10857.380000000001</v>
      </c>
      <c r="R16" s="9">
        <f t="shared" ref="R16" si="139">ROUND((L16*0.0075)*0.9,2)</f>
        <v>7328.73</v>
      </c>
      <c r="S16" s="9">
        <f t="shared" ref="S16" si="140">ROUND((L16*0.0075)*0.9,2)</f>
        <v>7328.73</v>
      </c>
      <c r="T16" s="9">
        <f>ROUND(L16*0.02,2)+0.02</f>
        <v>21714.760000000002</v>
      </c>
      <c r="U16" s="9">
        <f t="shared" ref="U16" si="141">ROUND(L16*0,2)</f>
        <v>0</v>
      </c>
      <c r="V16" s="40">
        <f t="shared" ref="V16" si="142">E16/W16</f>
        <v>1648.6532944606388</v>
      </c>
      <c r="W16" s="10">
        <v>686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44457</v>
      </c>
      <c r="B17" s="9">
        <v>11100715.029999999</v>
      </c>
      <c r="C17" s="9">
        <v>9993030.0500000007</v>
      </c>
      <c r="D17" s="9">
        <v>100757</v>
      </c>
      <c r="E17" s="9">
        <f t="shared" ref="E17" si="143">B17-C17-D17</f>
        <v>1006927.9799999986</v>
      </c>
      <c r="F17" s="9">
        <f>ROUND(E17*0.04,2)-0.02</f>
        <v>40277.100000000006</v>
      </c>
      <c r="G17" s="9">
        <f t="shared" ref="G17" si="144">ROUND(E17*0,2)</f>
        <v>0</v>
      </c>
      <c r="H17" s="9">
        <f t="shared" ref="H17" si="145">E17-F17-G17</f>
        <v>966650.87999999861</v>
      </c>
      <c r="I17" s="9">
        <f t="shared" ref="I17" si="146">ROUND(H17*0,2)</f>
        <v>0</v>
      </c>
      <c r="J17" s="9">
        <f t="shared" ref="J17" si="147">ROUND((I17*0.58)+((I17*0.42)*0.1),2)</f>
        <v>0</v>
      </c>
      <c r="K17" s="9">
        <f t="shared" ref="K17" si="148">ROUND((I17*0.42)*0.9,2)</f>
        <v>0</v>
      </c>
      <c r="L17" s="9">
        <f t="shared" ref="L17" si="149">IF(J17+K17=I17,H17-I17,"ERROR")</f>
        <v>966650.87999999861</v>
      </c>
      <c r="M17" s="9">
        <f t="shared" ref="M17" si="150">ROUND(L17*0.465,2)</f>
        <v>449492.66</v>
      </c>
      <c r="N17" s="9">
        <f>ROUND(L17*0.3,2)+0.06</f>
        <v>289995.32</v>
      </c>
      <c r="O17" s="9">
        <f>ROUND(L17*0.1285,2)-0.03</f>
        <v>124214.61</v>
      </c>
      <c r="P17" s="9">
        <f t="shared" ref="P17" si="151">ROUND((L17*0.07)*0.9,2)</f>
        <v>60899.01</v>
      </c>
      <c r="Q17" s="9">
        <f>ROUND(L17*0.01,2)-0.01</f>
        <v>9666.5</v>
      </c>
      <c r="R17" s="9">
        <f t="shared" ref="R17" si="152">ROUND((L17*0.0075)*0.9,2)</f>
        <v>6524.89</v>
      </c>
      <c r="S17" s="9">
        <f t="shared" ref="S17" si="153">ROUND((L17*0.0075)*0.9,2)</f>
        <v>6524.89</v>
      </c>
      <c r="T17" s="9">
        <f>ROUND(L17*0.02,2)-0.02</f>
        <v>19333</v>
      </c>
      <c r="U17" s="9">
        <f t="shared" ref="U17" si="154">ROUND(L17*0,2)</f>
        <v>0</v>
      </c>
      <c r="V17" s="40">
        <f t="shared" ref="V17" si="155">E17/W17</f>
        <v>1465.6884716157185</v>
      </c>
      <c r="W17" s="10">
        <v>687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44464</v>
      </c>
      <c r="B18" s="9">
        <v>10445912.529999999</v>
      </c>
      <c r="C18" s="9">
        <v>9409867.4699999988</v>
      </c>
      <c r="D18" s="9">
        <v>93032</v>
      </c>
      <c r="E18" s="9">
        <f t="shared" ref="E18" si="156">B18-C18-D18</f>
        <v>943013.06000000052</v>
      </c>
      <c r="F18" s="9">
        <f>ROUND(E18*0.04,2)</f>
        <v>37720.519999999997</v>
      </c>
      <c r="G18" s="9">
        <f t="shared" ref="G18" si="157">ROUND(E18*0,2)</f>
        <v>0</v>
      </c>
      <c r="H18" s="9">
        <f t="shared" ref="H18" si="158">E18-F18-G18</f>
        <v>905292.5400000005</v>
      </c>
      <c r="I18" s="9">
        <f t="shared" ref="I18" si="159">ROUND(H18*0,2)</f>
        <v>0</v>
      </c>
      <c r="J18" s="9">
        <f t="shared" ref="J18" si="160">ROUND((I18*0.58)+((I18*0.42)*0.1),2)</f>
        <v>0</v>
      </c>
      <c r="K18" s="9">
        <f t="shared" ref="K18" si="161">ROUND((I18*0.42)*0.9,2)</f>
        <v>0</v>
      </c>
      <c r="L18" s="9">
        <f t="shared" ref="L18" si="162">IF(J18+K18=I18,H18-I18,"ERROR")</f>
        <v>905292.5400000005</v>
      </c>
      <c r="M18" s="9">
        <f t="shared" ref="M18" si="163">ROUND(L18*0.465,2)</f>
        <v>420961.03</v>
      </c>
      <c r="N18" s="9">
        <f>ROUND(L18*0.3,2)+0.03</f>
        <v>271587.79000000004</v>
      </c>
      <c r="O18" s="9">
        <f>ROUND(L18*0.1285,2)</f>
        <v>116330.09</v>
      </c>
      <c r="P18" s="9">
        <f t="shared" ref="P18" si="164">ROUND((L18*0.07)*0.9,2)</f>
        <v>57033.43</v>
      </c>
      <c r="Q18" s="9">
        <f>ROUND(L18*0.01,2)-0.01</f>
        <v>9052.92</v>
      </c>
      <c r="R18" s="9">
        <f t="shared" ref="R18" si="165">ROUND((L18*0.0075)*0.9,2)</f>
        <v>6110.72</v>
      </c>
      <c r="S18" s="9">
        <f t="shared" ref="S18" si="166">ROUND((L18*0.0075)*0.9,2)</f>
        <v>6110.72</v>
      </c>
      <c r="T18" s="9">
        <f>ROUND(L18*0.02,2)-0.01</f>
        <v>18105.84</v>
      </c>
      <c r="U18" s="9">
        <f t="shared" ref="U18" si="167">ROUND(L18*0,2)</f>
        <v>0</v>
      </c>
      <c r="V18" s="40">
        <f t="shared" ref="V18" si="168">E18/W18</f>
        <v>1368.6691727140792</v>
      </c>
      <c r="W18" s="10">
        <v>689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44471</v>
      </c>
      <c r="B19" s="9">
        <v>11185684.67</v>
      </c>
      <c r="C19" s="9">
        <v>10117368.260000002</v>
      </c>
      <c r="D19" s="9">
        <v>102252</v>
      </c>
      <c r="E19" s="9">
        <f t="shared" ref="E19" si="169">B19-C19-D19</f>
        <v>966064.40999999829</v>
      </c>
      <c r="F19" s="9">
        <f>ROUND(E19*0.04,2)-0.01</f>
        <v>38642.57</v>
      </c>
      <c r="G19" s="9">
        <f t="shared" ref="G19" si="170">ROUND(E19*0,2)</f>
        <v>0</v>
      </c>
      <c r="H19" s="9">
        <f t="shared" ref="H19" si="171">E19-F19-G19</f>
        <v>927421.83999999834</v>
      </c>
      <c r="I19" s="9">
        <f t="shared" ref="I19" si="172">ROUND(H19*0,2)</f>
        <v>0</v>
      </c>
      <c r="J19" s="9">
        <f t="shared" ref="J19" si="173">ROUND((I19*0.58)+((I19*0.42)*0.1),2)</f>
        <v>0</v>
      </c>
      <c r="K19" s="9">
        <f t="shared" ref="K19" si="174">ROUND((I19*0.42)*0.9,2)</f>
        <v>0</v>
      </c>
      <c r="L19" s="9">
        <f t="shared" ref="L19" si="175">IF(J19+K19=I19,H19-I19,"ERROR")</f>
        <v>927421.83999999834</v>
      </c>
      <c r="M19" s="9">
        <f t="shared" ref="M19" si="176">ROUND(L19*0.465,2)</f>
        <v>431251.16</v>
      </c>
      <c r="N19" s="9">
        <f>ROUND(L19*0.3,2)-0.01</f>
        <v>278226.53999999998</v>
      </c>
      <c r="O19" s="9">
        <f>ROUND(L19*0.1285,2)-0.01</f>
        <v>119173.70000000001</v>
      </c>
      <c r="P19" s="9">
        <f t="shared" ref="P19" si="177">ROUND((L19*0.07)*0.9,2)</f>
        <v>58427.58</v>
      </c>
      <c r="Q19" s="9">
        <f>ROUND(L19*0.01,2)</f>
        <v>9274.2199999999993</v>
      </c>
      <c r="R19" s="9">
        <f t="shared" ref="R19" si="178">ROUND((L19*0.0075)*0.9,2)</f>
        <v>6260.1</v>
      </c>
      <c r="S19" s="9">
        <f t="shared" ref="S19" si="179">ROUND((L19*0.0075)*0.9,2)</f>
        <v>6260.1</v>
      </c>
      <c r="T19" s="9">
        <f>ROUND(L19*0.02,2)</f>
        <v>18548.439999999999</v>
      </c>
      <c r="U19" s="9">
        <f t="shared" ref="U19" si="180">ROUND(L19*0,2)</f>
        <v>0</v>
      </c>
      <c r="V19" s="40">
        <f t="shared" ref="V19" si="181">E19/W19</f>
        <v>1452.7284360902229</v>
      </c>
      <c r="W19" s="10">
        <v>665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44478</v>
      </c>
      <c r="B20" s="9">
        <v>11032739.09</v>
      </c>
      <c r="C20" s="9">
        <v>9955743.6999999993</v>
      </c>
      <c r="D20" s="9">
        <v>110228</v>
      </c>
      <c r="E20" s="9">
        <f t="shared" ref="E20" si="182">B20-C20-D20</f>
        <v>966767.3900000006</v>
      </c>
      <c r="F20" s="9">
        <f>ROUND(E20*0.04,2)</f>
        <v>38670.699999999997</v>
      </c>
      <c r="G20" s="9">
        <f t="shared" ref="G20" si="183">ROUND(E20*0,2)</f>
        <v>0</v>
      </c>
      <c r="H20" s="9">
        <f t="shared" ref="H20" si="184">E20-F20-G20</f>
        <v>928096.69000000064</v>
      </c>
      <c r="I20" s="9">
        <f t="shared" ref="I20" si="185">ROUND(H20*0,2)</f>
        <v>0</v>
      </c>
      <c r="J20" s="9">
        <f t="shared" ref="J20" si="186">ROUND((I20*0.58)+((I20*0.42)*0.1),2)</f>
        <v>0</v>
      </c>
      <c r="K20" s="9">
        <f t="shared" ref="K20" si="187">ROUND((I20*0.42)*0.9,2)</f>
        <v>0</v>
      </c>
      <c r="L20" s="9">
        <f t="shared" ref="L20" si="188">IF(J20+K20=I20,H20-I20,"ERROR")</f>
        <v>928096.69000000064</v>
      </c>
      <c r="M20" s="9">
        <f t="shared" ref="M20" si="189">ROUND(L20*0.465,2)</f>
        <v>431564.96</v>
      </c>
      <c r="N20" s="9">
        <f>ROUND(L20*0.3,2)+0.03</f>
        <v>278429.04000000004</v>
      </c>
      <c r="O20" s="9">
        <f>ROUND(L20*0.1285,2)</f>
        <v>119260.42</v>
      </c>
      <c r="P20" s="9">
        <f t="shared" ref="P20" si="190">ROUND((L20*0.07)*0.9,2)</f>
        <v>58470.09</v>
      </c>
      <c r="Q20" s="9">
        <f>ROUND(L20*0.01,2)-0.01</f>
        <v>9280.9599999999991</v>
      </c>
      <c r="R20" s="9">
        <f t="shared" ref="R20" si="191">ROUND((L20*0.0075)*0.9,2)</f>
        <v>6264.65</v>
      </c>
      <c r="S20" s="9">
        <f t="shared" ref="S20" si="192">ROUND((L20*0.0075)*0.9,2)</f>
        <v>6264.65</v>
      </c>
      <c r="T20" s="9">
        <f>ROUND(L20*0.02,2)-0.01</f>
        <v>18561.920000000002</v>
      </c>
      <c r="U20" s="9">
        <f t="shared" ref="U20" si="193">ROUND(L20*0,2)</f>
        <v>0</v>
      </c>
      <c r="V20" s="40">
        <f t="shared" ref="V20" si="194">E20/W20</f>
        <v>1425.9106047197649</v>
      </c>
      <c r="W20" s="10">
        <v>678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44485</v>
      </c>
      <c r="B21" s="9">
        <v>11180520.59</v>
      </c>
      <c r="C21" s="9">
        <v>10181010.98</v>
      </c>
      <c r="D21" s="9">
        <v>103840</v>
      </c>
      <c r="E21" s="9">
        <f t="shared" ref="E21" si="195">B21-C21-D21</f>
        <v>895669.6099999994</v>
      </c>
      <c r="F21" s="9">
        <f>ROUND(E21*0.04,2)</f>
        <v>35826.78</v>
      </c>
      <c r="G21" s="9">
        <f t="shared" ref="G21" si="196">ROUND(E21*0,2)</f>
        <v>0</v>
      </c>
      <c r="H21" s="9">
        <f t="shared" ref="H21" si="197">E21-F21-G21</f>
        <v>859842.82999999938</v>
      </c>
      <c r="I21" s="9">
        <f t="shared" ref="I21" si="198">ROUND(H21*0,2)</f>
        <v>0</v>
      </c>
      <c r="J21" s="9">
        <f t="shared" ref="J21" si="199">ROUND((I21*0.58)+((I21*0.42)*0.1),2)</f>
        <v>0</v>
      </c>
      <c r="K21" s="9">
        <f t="shared" ref="K21" si="200">ROUND((I21*0.42)*0.9,2)</f>
        <v>0</v>
      </c>
      <c r="L21" s="9">
        <f t="shared" ref="L21" si="201">IF(J21+K21=I21,H21-I21,"ERROR")</f>
        <v>859842.82999999938</v>
      </c>
      <c r="M21" s="9">
        <f t="shared" ref="M21" si="202">ROUND(L21*0.465,2)</f>
        <v>399826.92</v>
      </c>
      <c r="N21" s="9">
        <f>ROUND(L21*0.3,2)+0.04</f>
        <v>257952.89</v>
      </c>
      <c r="O21" s="9">
        <f>ROUND(L21*0.1285,2)-0.02</f>
        <v>110489.78</v>
      </c>
      <c r="P21" s="9">
        <f t="shared" ref="P21" si="203">ROUND((L21*0.07)*0.9,2)</f>
        <v>54170.1</v>
      </c>
      <c r="Q21" s="9">
        <f>ROUND(L21*0.01,2)-0.01</f>
        <v>8598.42</v>
      </c>
      <c r="R21" s="9">
        <f t="shared" ref="R21" si="204">ROUND((L21*0.0075)*0.9,2)</f>
        <v>5803.94</v>
      </c>
      <c r="S21" s="9">
        <f t="shared" ref="S21" si="205">ROUND((L21*0.0075)*0.9,2)</f>
        <v>5803.94</v>
      </c>
      <c r="T21" s="9">
        <f>ROUND(L21*0.02,2)-0.02</f>
        <v>17196.84</v>
      </c>
      <c r="U21" s="9">
        <f t="shared" ref="U21" si="206">ROUND(L21*0,2)</f>
        <v>0</v>
      </c>
      <c r="V21" s="40">
        <f t="shared" ref="V21" si="207">E21/W21</f>
        <v>1322.9979468242236</v>
      </c>
      <c r="W21" s="10">
        <v>677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44492</v>
      </c>
      <c r="B22" s="9">
        <v>10829731.76</v>
      </c>
      <c r="C22" s="9">
        <v>9770726.2100000009</v>
      </c>
      <c r="D22" s="9">
        <v>102828</v>
      </c>
      <c r="E22" s="9">
        <f t="shared" ref="E22" si="208">B22-C22-D22</f>
        <v>956177.54999999888</v>
      </c>
      <c r="F22" s="9">
        <f>ROUND(E22*0.04,2)+0.01</f>
        <v>38247.11</v>
      </c>
      <c r="G22" s="9">
        <f t="shared" ref="G22" si="209">ROUND(E22*0,2)</f>
        <v>0</v>
      </c>
      <c r="H22" s="9">
        <f t="shared" ref="H22" si="210">E22-F22-G22</f>
        <v>917930.4399999989</v>
      </c>
      <c r="I22" s="9">
        <f t="shared" ref="I22" si="211">ROUND(H22*0,2)</f>
        <v>0</v>
      </c>
      <c r="J22" s="9">
        <f t="shared" ref="J22" si="212">ROUND((I22*0.58)+((I22*0.42)*0.1),2)</f>
        <v>0</v>
      </c>
      <c r="K22" s="9">
        <f t="shared" ref="K22" si="213">ROUND((I22*0.42)*0.9,2)</f>
        <v>0</v>
      </c>
      <c r="L22" s="9">
        <f t="shared" ref="L22" si="214">IF(J22+K22=I22,H22-I22,"ERROR")</f>
        <v>917930.4399999989</v>
      </c>
      <c r="M22" s="9">
        <f t="shared" ref="M22" si="215">ROUND(L22*0.465,2)</f>
        <v>426837.65</v>
      </c>
      <c r="N22" s="9">
        <f>ROUND(L22*0.3,2)+0.03</f>
        <v>275379.16000000003</v>
      </c>
      <c r="O22" s="9">
        <f>ROUND(L22*0.1285,2)-0.01</f>
        <v>117954.05</v>
      </c>
      <c r="P22" s="9">
        <f t="shared" ref="P22" si="216">ROUND((L22*0.07)*0.9,2)</f>
        <v>57829.62</v>
      </c>
      <c r="Q22" s="9">
        <f>ROUND(L22*0.01,2)</f>
        <v>9179.2999999999993</v>
      </c>
      <c r="R22" s="9">
        <f t="shared" ref="R22" si="217">ROUND((L22*0.0075)*0.9,2)</f>
        <v>6196.03</v>
      </c>
      <c r="S22" s="9">
        <f t="shared" ref="S22" si="218">ROUND((L22*0.0075)*0.9,2)</f>
        <v>6196.03</v>
      </c>
      <c r="T22" s="9">
        <f>ROUND(L22*0.02,2)-0.01</f>
        <v>18358.600000000002</v>
      </c>
      <c r="U22" s="9">
        <f t="shared" ref="U22" si="219">ROUND(L22*0,2)</f>
        <v>0</v>
      </c>
      <c r="V22" s="40">
        <f t="shared" ref="V22" si="220">E22/W22</f>
        <v>1431.4035179640703</v>
      </c>
      <c r="W22" s="10">
        <v>668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44499</v>
      </c>
      <c r="B23" s="9">
        <v>10922612.390000001</v>
      </c>
      <c r="C23" s="9">
        <v>9884312.0199999996</v>
      </c>
      <c r="D23" s="9">
        <v>107909</v>
      </c>
      <c r="E23" s="9">
        <f t="shared" ref="E23" si="221">B23-C23-D23</f>
        <v>930391.37000000104</v>
      </c>
      <c r="F23" s="9">
        <f>ROUND(E23*0.04,2)+0.01</f>
        <v>37215.660000000003</v>
      </c>
      <c r="G23" s="9">
        <f t="shared" ref="G23" si="222">ROUND(E23*0,2)</f>
        <v>0</v>
      </c>
      <c r="H23" s="9">
        <f t="shared" ref="H23" si="223">E23-F23-G23</f>
        <v>893175.71000000101</v>
      </c>
      <c r="I23" s="9">
        <f t="shared" ref="I23" si="224">ROUND(H23*0,2)</f>
        <v>0</v>
      </c>
      <c r="J23" s="9">
        <f t="shared" ref="J23" si="225">ROUND((I23*0.58)+((I23*0.42)*0.1),2)</f>
        <v>0</v>
      </c>
      <c r="K23" s="9">
        <f t="shared" ref="K23" si="226">ROUND((I23*0.42)*0.9,2)</f>
        <v>0</v>
      </c>
      <c r="L23" s="9">
        <f t="shared" ref="L23" si="227">IF(J23+K23=I23,H23-I23,"ERROR")</f>
        <v>893175.71000000101</v>
      </c>
      <c r="M23" s="9">
        <f t="shared" ref="M23" si="228">ROUND(L23*0.465,2)</f>
        <v>415326.71</v>
      </c>
      <c r="N23" s="9">
        <f>ROUND(L23*0.3,2)-0.02</f>
        <v>267952.69</v>
      </c>
      <c r="O23" s="9">
        <f>ROUND(L23*0.1285,2)</f>
        <v>114773.08</v>
      </c>
      <c r="P23" s="9">
        <f t="shared" ref="P23" si="229">ROUND((L23*0.07)*0.9,2)</f>
        <v>56270.07</v>
      </c>
      <c r="Q23" s="9">
        <f>ROUND(L23*0.01,2)</f>
        <v>8931.76</v>
      </c>
      <c r="R23" s="9">
        <f t="shared" ref="R23" si="230">ROUND((L23*0.0075)*0.9,2)</f>
        <v>6028.94</v>
      </c>
      <c r="S23" s="9">
        <f t="shared" ref="S23" si="231">ROUND((L23*0.0075)*0.9,2)</f>
        <v>6028.94</v>
      </c>
      <c r="T23" s="9">
        <f>ROUND(L23*0.02,2)+0.01</f>
        <v>17863.519999999997</v>
      </c>
      <c r="U23" s="9">
        <f t="shared" ref="U23" si="232">ROUND(L23*0,2)</f>
        <v>0</v>
      </c>
      <c r="V23" s="40">
        <f t="shared" ref="V23" si="233">E23/W23</f>
        <v>1368.2226029411779</v>
      </c>
      <c r="W23" s="10">
        <v>680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44506</v>
      </c>
      <c r="B24" s="9">
        <v>10763992.310000001</v>
      </c>
      <c r="C24" s="9">
        <v>9810596.9299999997</v>
      </c>
      <c r="D24" s="9">
        <v>113221</v>
      </c>
      <c r="E24" s="9">
        <f t="shared" ref="E24" si="234">B24-C24-D24</f>
        <v>840174.38000000082</v>
      </c>
      <c r="F24" s="9">
        <f>ROUND(E24*0.04,2)</f>
        <v>33606.980000000003</v>
      </c>
      <c r="G24" s="9">
        <f t="shared" ref="G24" si="235">ROUND(E24*0,2)</f>
        <v>0</v>
      </c>
      <c r="H24" s="9">
        <f t="shared" ref="H24" si="236">E24-F24-G24</f>
        <v>806567.40000000084</v>
      </c>
      <c r="I24" s="9">
        <f t="shared" ref="I24" si="237">ROUND(H24*0,2)</f>
        <v>0</v>
      </c>
      <c r="J24" s="9">
        <f t="shared" ref="J24" si="238">ROUND((I24*0.58)+((I24*0.42)*0.1),2)</f>
        <v>0</v>
      </c>
      <c r="K24" s="9">
        <f t="shared" ref="K24" si="239">ROUND((I24*0.42)*0.9,2)</f>
        <v>0</v>
      </c>
      <c r="L24" s="9">
        <f t="shared" ref="L24" si="240">IF(J24+K24=I24,H24-I24,"ERROR")</f>
        <v>806567.40000000084</v>
      </c>
      <c r="M24" s="9">
        <f t="shared" ref="M24" si="241">ROUND(L24*0.465,2)</f>
        <v>375053.84</v>
      </c>
      <c r="N24" s="9">
        <f>ROUND(L24*0.3,2)-0.04</f>
        <v>241970.18</v>
      </c>
      <c r="O24" s="9">
        <f>ROUND(L24*0.1285,2)+0.02</f>
        <v>103643.93000000001</v>
      </c>
      <c r="P24" s="9">
        <f t="shared" ref="P24" si="242">ROUND((L24*0.07)*0.9,2)</f>
        <v>50813.75</v>
      </c>
      <c r="Q24" s="9">
        <f>ROUND(L24*0.01,2)+0.01</f>
        <v>8065.68</v>
      </c>
      <c r="R24" s="9">
        <f t="shared" ref="R24" si="243">ROUND((L24*0.0075)*0.9,2)</f>
        <v>5444.33</v>
      </c>
      <c r="S24" s="9">
        <f t="shared" ref="S24" si="244">ROUND((L24*0.0075)*0.9,2)</f>
        <v>5444.33</v>
      </c>
      <c r="T24" s="9">
        <f>ROUND(L24*0.02,2)+0.01</f>
        <v>16131.36</v>
      </c>
      <c r="U24" s="9">
        <f t="shared" ref="U24" si="245">ROUND(L24*0,2)</f>
        <v>0</v>
      </c>
      <c r="V24" s="40">
        <f t="shared" ref="V24" si="246">E24/W24</f>
        <v>1226.5319416058405</v>
      </c>
      <c r="W24" s="10">
        <v>685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44513</v>
      </c>
      <c r="B25" s="9">
        <v>10841338.65</v>
      </c>
      <c r="C25" s="9">
        <v>9903668.379999999</v>
      </c>
      <c r="D25" s="9">
        <v>111140</v>
      </c>
      <c r="E25" s="9">
        <f t="shared" ref="E25" si="247">B25-C25-D25</f>
        <v>826530.27000000142</v>
      </c>
      <c r="F25" s="9">
        <f>ROUND(E25*0.04,2)-0.01</f>
        <v>33061.199999999997</v>
      </c>
      <c r="G25" s="9">
        <f t="shared" ref="G25" si="248">ROUND(E25*0,2)</f>
        <v>0</v>
      </c>
      <c r="H25" s="9">
        <f t="shared" ref="H25" si="249">E25-F25-G25</f>
        <v>793469.07000000146</v>
      </c>
      <c r="I25" s="9">
        <f t="shared" ref="I25" si="250">ROUND(H25*0,2)</f>
        <v>0</v>
      </c>
      <c r="J25" s="9">
        <f t="shared" ref="J25" si="251">ROUND((I25*0.58)+((I25*0.42)*0.1),2)</f>
        <v>0</v>
      </c>
      <c r="K25" s="9">
        <f t="shared" ref="K25" si="252">ROUND((I25*0.42)*0.9,2)</f>
        <v>0</v>
      </c>
      <c r="L25" s="66">
        <f t="shared" ref="L25" si="253">IF(J25+K25=I25,H25-I25,"ERROR")</f>
        <v>793469.07000000146</v>
      </c>
      <c r="M25" s="9">
        <f t="shared" ref="M25" si="254">ROUND(L25*0.465,2)</f>
        <v>368963.12</v>
      </c>
      <c r="N25" s="9">
        <f>ROUND(L25*0.3,2)-0.05</f>
        <v>238040.67</v>
      </c>
      <c r="O25" s="9">
        <f>ROUND(L25*0.1285,2)+0.01</f>
        <v>101960.79</v>
      </c>
      <c r="P25" s="9">
        <f t="shared" ref="P25" si="255">ROUND((L25*0.07)*0.9,2)</f>
        <v>49988.55</v>
      </c>
      <c r="Q25" s="9">
        <f>ROUND(L25*0.01,2)+0.01</f>
        <v>7934.7</v>
      </c>
      <c r="R25" s="9">
        <f t="shared" ref="R25" si="256">ROUND((L25*0.0075)*0.9,2)</f>
        <v>5355.92</v>
      </c>
      <c r="S25" s="9">
        <f t="shared" ref="S25" si="257">ROUND((L25*0.0075)*0.9,2)</f>
        <v>5355.92</v>
      </c>
      <c r="T25" s="9">
        <f>ROUND(L25*0.02,2)+0.02</f>
        <v>15869.4</v>
      </c>
      <c r="U25" s="9">
        <f t="shared" ref="U25" si="258">ROUND(L25*0,2)</f>
        <v>0</v>
      </c>
      <c r="V25" s="40">
        <f t="shared" ref="V25" si="259">E25/W25</f>
        <v>1199.6085195936159</v>
      </c>
      <c r="W25" s="10">
        <v>689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44520</v>
      </c>
      <c r="B26" s="9">
        <v>10283908.82</v>
      </c>
      <c r="C26" s="9">
        <v>9359629.1500000004</v>
      </c>
      <c r="D26" s="9">
        <v>110900</v>
      </c>
      <c r="E26" s="9">
        <f t="shared" ref="E26" si="260">B26-C26-D26</f>
        <v>813379.66999999993</v>
      </c>
      <c r="F26" s="9">
        <f>ROUND(E26*0.04,2)+0.01</f>
        <v>32535.199999999997</v>
      </c>
      <c r="G26" s="9">
        <f t="shared" ref="G26" si="261">ROUND(E26*0,2)</f>
        <v>0</v>
      </c>
      <c r="H26" s="66">
        <f t="shared" ref="H26" si="262">E26-F26-G26</f>
        <v>780844.47</v>
      </c>
      <c r="I26" s="9">
        <f t="shared" ref="I26" si="263">ROUND(H26*0,2)</f>
        <v>0</v>
      </c>
      <c r="J26" s="9">
        <f t="shared" ref="J26" si="264">ROUND((I26*0.58)+((I26*0.42)*0.1),2)</f>
        <v>0</v>
      </c>
      <c r="K26" s="9">
        <f t="shared" ref="K26" si="265">ROUND((I26*0.42)*0.9,2)</f>
        <v>0</v>
      </c>
      <c r="L26" s="66">
        <f t="shared" ref="L26" si="266">IF(J26+K26=I26,H26-I26,"ERROR")</f>
        <v>780844.47</v>
      </c>
      <c r="M26" s="9">
        <f t="shared" ref="M26" si="267">ROUND(L26*0.465,2)</f>
        <v>363092.68</v>
      </c>
      <c r="N26" s="9">
        <f>ROUND(L26*0.3,2)+0.03</f>
        <v>234253.37</v>
      </c>
      <c r="O26" s="9">
        <f>ROUND(L26*0.1285,2)-0.01</f>
        <v>100338.5</v>
      </c>
      <c r="P26" s="9">
        <f t="shared" ref="P26" si="268">ROUND((L26*0.07)*0.9,2)</f>
        <v>49193.2</v>
      </c>
      <c r="Q26" s="9">
        <f>ROUND(L26*0.01,2)</f>
        <v>7808.44</v>
      </c>
      <c r="R26" s="9">
        <f t="shared" ref="R26" si="269">ROUND((L26*0.0075)*0.9,2)</f>
        <v>5270.7</v>
      </c>
      <c r="S26" s="9">
        <f t="shared" ref="S26" si="270">ROUND((L26*0.0075)*0.9,2)</f>
        <v>5270.7</v>
      </c>
      <c r="T26" s="9">
        <f>ROUND(L26*0.02,2)-0.01</f>
        <v>15616.88</v>
      </c>
      <c r="U26" s="9">
        <f t="shared" ref="U26" si="271">ROUND(L26*0,2)</f>
        <v>0</v>
      </c>
      <c r="V26" s="40">
        <f t="shared" ref="V26" si="272">E26/W26</f>
        <v>1388.0199146757677</v>
      </c>
      <c r="W26" s="10">
        <v>586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44527</v>
      </c>
      <c r="B27" s="9">
        <v>11423728.919999998</v>
      </c>
      <c r="C27" s="9">
        <v>10362373.640000001</v>
      </c>
      <c r="D27" s="9">
        <v>111893</v>
      </c>
      <c r="E27" s="9">
        <f t="shared" ref="E27" si="273">B27-C27-D27</f>
        <v>949462.27999999747</v>
      </c>
      <c r="F27" s="9">
        <f>ROUND(E27*0.04,2)+0.01</f>
        <v>37978.5</v>
      </c>
      <c r="G27" s="9">
        <f t="shared" ref="G27" si="274">ROUND(E27*0,2)</f>
        <v>0</v>
      </c>
      <c r="H27" s="66">
        <f t="shared" ref="H27" si="275">E27-F27-G27</f>
        <v>911483.77999999747</v>
      </c>
      <c r="I27" s="9">
        <f t="shared" ref="I27" si="276">ROUND(H27*0,2)</f>
        <v>0</v>
      </c>
      <c r="J27" s="9">
        <f t="shared" ref="J27" si="277">ROUND((I27*0.58)+((I27*0.42)*0.1),2)</f>
        <v>0</v>
      </c>
      <c r="K27" s="9">
        <f t="shared" ref="K27" si="278">ROUND((I27*0.42)*0.9,2)</f>
        <v>0</v>
      </c>
      <c r="L27" s="66">
        <f t="shared" ref="L27" si="279">IF(J27+K27=I27,H27-I27,"ERROR")</f>
        <v>911483.77999999747</v>
      </c>
      <c r="M27" s="9">
        <f t="shared" ref="M27" si="280">ROUND(L27*0.465,2)</f>
        <v>423839.96</v>
      </c>
      <c r="N27" s="9">
        <f>ROUND(L27*0.3,2)</f>
        <v>273445.13</v>
      </c>
      <c r="O27" s="9">
        <f>ROUND(L27*0.1285,2)-0.02</f>
        <v>117125.65</v>
      </c>
      <c r="P27" s="9">
        <f t="shared" ref="P27" si="281">ROUND((L27*0.07)*0.9,2)</f>
        <v>57423.48</v>
      </c>
      <c r="Q27" s="9">
        <f>ROUND(L27*0.01,2)</f>
        <v>9114.84</v>
      </c>
      <c r="R27" s="9">
        <f t="shared" ref="R27" si="282">ROUND((L27*0.0075)*0.9,2)</f>
        <v>6152.52</v>
      </c>
      <c r="S27" s="9">
        <f t="shared" ref="S27" si="283">ROUND((L27*0.0075)*0.9,2)</f>
        <v>6152.52</v>
      </c>
      <c r="T27" s="9">
        <f>ROUND(L27*0.02,2)</f>
        <v>18229.68</v>
      </c>
      <c r="U27" s="9">
        <f t="shared" ref="U27" si="284">ROUND(L27*0,2)</f>
        <v>0</v>
      </c>
      <c r="V27" s="40">
        <f t="shared" ref="V27" si="285">E27/W27</f>
        <v>1382.0411644832568</v>
      </c>
      <c r="W27" s="10">
        <v>687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44534</v>
      </c>
      <c r="B28" s="9">
        <v>10689749.619999999</v>
      </c>
      <c r="C28" s="9">
        <v>9679125.2400000002</v>
      </c>
      <c r="D28" s="9">
        <v>111952</v>
      </c>
      <c r="E28" s="9">
        <f t="shared" ref="E28" si="286">B28-C28-D28</f>
        <v>898672.37999999896</v>
      </c>
      <c r="F28" s="9">
        <f>ROUND(E28*0.04,2)-0.01</f>
        <v>35946.89</v>
      </c>
      <c r="G28" s="9">
        <f t="shared" ref="G28" si="287">ROUND(E28*0,2)</f>
        <v>0</v>
      </c>
      <c r="H28" s="66">
        <f t="shared" ref="H28" si="288">E28-F28-G28</f>
        <v>862725.48999999894</v>
      </c>
      <c r="I28" s="9">
        <f t="shared" ref="I28" si="289">ROUND(H28*0,2)</f>
        <v>0</v>
      </c>
      <c r="J28" s="9">
        <f t="shared" ref="J28" si="290">ROUND((I28*0.58)+((I28*0.42)*0.1),2)</f>
        <v>0</v>
      </c>
      <c r="K28" s="9">
        <f t="shared" ref="K28" si="291">ROUND((I28*0.42)*0.9,2)</f>
        <v>0</v>
      </c>
      <c r="L28" s="66">
        <f t="shared" ref="L28" si="292">IF(J28+K28=I28,H28-I28,"ERROR")</f>
        <v>862725.48999999894</v>
      </c>
      <c r="M28" s="9">
        <f t="shared" ref="M28" si="293">ROUND(L28*0.465,2)</f>
        <v>401167.35</v>
      </c>
      <c r="N28" s="9">
        <f>ROUND(L28*0.3,2)-0.02</f>
        <v>258817.63</v>
      </c>
      <c r="O28" s="9">
        <f>ROUND(L28*0.1285,2)-0.01</f>
        <v>110860.22</v>
      </c>
      <c r="P28" s="9">
        <f t="shared" ref="P28" si="294">ROUND((L28*0.07)*0.9,2)</f>
        <v>54351.71</v>
      </c>
      <c r="Q28" s="9">
        <f>ROUND(L28*0.01,2)+0.01</f>
        <v>8627.26</v>
      </c>
      <c r="R28" s="9">
        <f t="shared" ref="R28" si="295">ROUND((L28*0.0075)*0.9,2)</f>
        <v>5823.4</v>
      </c>
      <c r="S28" s="9">
        <f t="shared" ref="S28" si="296">ROUND((L28*0.0075)*0.9,2)</f>
        <v>5823.4</v>
      </c>
      <c r="T28" s="9">
        <f>ROUND(L28*0.02,2)+0.01</f>
        <v>17254.519999999997</v>
      </c>
      <c r="U28" s="9">
        <f t="shared" ref="U28" si="297">ROUND(L28*0,2)</f>
        <v>0</v>
      </c>
      <c r="V28" s="40">
        <f t="shared" ref="V28" si="298">E28/W28</f>
        <v>1331.3664888888873</v>
      </c>
      <c r="W28" s="10">
        <v>675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44541</v>
      </c>
      <c r="B29" s="9">
        <v>9444423.9499999993</v>
      </c>
      <c r="C29" s="9">
        <v>8621816.8200000003</v>
      </c>
      <c r="D29" s="9">
        <v>96079</v>
      </c>
      <c r="E29" s="9">
        <f t="shared" ref="E29" si="299">B29-C29-D29</f>
        <v>726528.12999999896</v>
      </c>
      <c r="F29" s="9">
        <f>ROUND(E29*0.04,2)-0.01</f>
        <v>29061.120000000003</v>
      </c>
      <c r="G29" s="9">
        <f t="shared" ref="G29" si="300">ROUND(E29*0,2)</f>
        <v>0</v>
      </c>
      <c r="H29" s="66">
        <f t="shared" ref="H29" si="301">E29-F29-G29</f>
        <v>697467.00999999896</v>
      </c>
      <c r="I29" s="9">
        <f t="shared" ref="I29" si="302">ROUND(H29*0,2)</f>
        <v>0</v>
      </c>
      <c r="J29" s="9">
        <f t="shared" ref="J29" si="303">ROUND((I29*0.58)+((I29*0.42)*0.1),2)</f>
        <v>0</v>
      </c>
      <c r="K29" s="9">
        <f t="shared" ref="K29" si="304">ROUND((I29*0.42)*0.9,2)</f>
        <v>0</v>
      </c>
      <c r="L29" s="66">
        <f t="shared" ref="L29" si="305">IF(J29+K29=I29,H29-I29,"ERROR")</f>
        <v>697467.00999999896</v>
      </c>
      <c r="M29" s="9">
        <f t="shared" ref="M29" si="306">ROUND(L29*0.465,2)</f>
        <v>324322.15999999997</v>
      </c>
      <c r="N29" s="9">
        <f>ROUND(L29*0.3,2)-0.05</f>
        <v>209240.05000000002</v>
      </c>
      <c r="O29" s="9">
        <f>ROUND(L29*0.1285,2)+0.03</f>
        <v>89624.54</v>
      </c>
      <c r="P29" s="9">
        <f t="shared" ref="P29" si="307">ROUND((L29*0.07)*0.9,2)</f>
        <v>43940.42</v>
      </c>
      <c r="Q29" s="9">
        <f>ROUND(L29*0.01,2)+0.01</f>
        <v>6974.68</v>
      </c>
      <c r="R29" s="9">
        <f t="shared" ref="R29" si="308">ROUND((L29*0.0075)*0.9,2)</f>
        <v>4707.8999999999996</v>
      </c>
      <c r="S29" s="9">
        <f t="shared" ref="S29" si="309">ROUND((L29*0.0075)*0.9,2)</f>
        <v>4707.8999999999996</v>
      </c>
      <c r="T29" s="9">
        <f>ROUND(L29*0.02,2)+0.02</f>
        <v>13949.36</v>
      </c>
      <c r="U29" s="9">
        <f t="shared" ref="U29" si="310">ROUND(L29*0,2)</f>
        <v>0</v>
      </c>
      <c r="V29" s="40">
        <f t="shared" ref="V29" si="311">E29/W29</f>
        <v>1074.7457544378683</v>
      </c>
      <c r="W29" s="10">
        <v>676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44548</v>
      </c>
      <c r="B30" s="9">
        <v>9361601.3300000001</v>
      </c>
      <c r="C30" s="9">
        <v>8416481.0199999996</v>
      </c>
      <c r="D30" s="9">
        <v>107591</v>
      </c>
      <c r="E30" s="9">
        <f t="shared" ref="E30" si="312">B30-C30-D30</f>
        <v>837529.31000000052</v>
      </c>
      <c r="F30" s="9">
        <f>ROUND(E30*0.04,2)-0.01</f>
        <v>33501.159999999996</v>
      </c>
      <c r="G30" s="9">
        <f t="shared" ref="G30" si="313">ROUND(E30*0,2)</f>
        <v>0</v>
      </c>
      <c r="H30" s="66">
        <f t="shared" ref="H30" si="314">E30-F30-G30</f>
        <v>804028.15000000049</v>
      </c>
      <c r="I30" s="9">
        <f t="shared" ref="I30" si="315">ROUND(H30*0,2)</f>
        <v>0</v>
      </c>
      <c r="J30" s="9">
        <f t="shared" ref="J30" si="316">ROUND((I30*0.58)+((I30*0.42)*0.1),2)</f>
        <v>0</v>
      </c>
      <c r="K30" s="9">
        <f t="shared" ref="K30" si="317">ROUND((I30*0.42)*0.9,2)</f>
        <v>0</v>
      </c>
      <c r="L30" s="66">
        <f t="shared" ref="L30" si="318">IF(J30+K30=I30,H30-I30,"ERROR")</f>
        <v>804028.15000000049</v>
      </c>
      <c r="M30" s="9">
        <f t="shared" ref="M30" si="319">ROUND(L30*0.465,2)</f>
        <v>373873.09</v>
      </c>
      <c r="N30" s="9">
        <f>ROUND(L30*0.3,2)</f>
        <v>241208.45</v>
      </c>
      <c r="O30" s="9">
        <f>ROUND(L30*0.1285,2)</f>
        <v>103317.62</v>
      </c>
      <c r="P30" s="9">
        <f t="shared" ref="P30" si="320">ROUND((L30*0.07)*0.9,2)</f>
        <v>50653.77</v>
      </c>
      <c r="Q30" s="9">
        <f>ROUND(L30*0.01,2)</f>
        <v>8040.28</v>
      </c>
      <c r="R30" s="9">
        <f t="shared" ref="R30" si="321">ROUND((L30*0.0075)*0.9,2)</f>
        <v>5427.19</v>
      </c>
      <c r="S30" s="9">
        <f t="shared" ref="S30" si="322">ROUND((L30*0.0075)*0.9,2)</f>
        <v>5427.19</v>
      </c>
      <c r="T30" s="9">
        <f>ROUND(L30*0.02,2)</f>
        <v>16080.56</v>
      </c>
      <c r="U30" s="9">
        <f t="shared" ref="U30" si="323">ROUND(L30*0,2)</f>
        <v>0</v>
      </c>
      <c r="V30" s="40">
        <f t="shared" ref="V30" si="324">E30/W30</f>
        <v>1251.9122720478333</v>
      </c>
      <c r="W30" s="10">
        <v>669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44555</v>
      </c>
      <c r="B31" s="9">
        <v>9537509.1400000006</v>
      </c>
      <c r="C31" s="9">
        <v>8651722.3800000008</v>
      </c>
      <c r="D31" s="9">
        <v>97696</v>
      </c>
      <c r="E31" s="9">
        <f t="shared" ref="E31" si="325">B31-C31-D31</f>
        <v>788090.75999999978</v>
      </c>
      <c r="F31" s="9">
        <f>ROUND(E31*0.04,2)</f>
        <v>31523.63</v>
      </c>
      <c r="G31" s="9">
        <f t="shared" ref="G31" si="326">ROUND(E31*0,2)</f>
        <v>0</v>
      </c>
      <c r="H31" s="66">
        <f t="shared" ref="H31" si="327">E31-F31-G31</f>
        <v>756567.12999999977</v>
      </c>
      <c r="I31" s="9">
        <f t="shared" ref="I31" si="328">ROUND(H31*0,2)</f>
        <v>0</v>
      </c>
      <c r="J31" s="9">
        <f t="shared" ref="J31" si="329">ROUND((I31*0.58)+((I31*0.42)*0.1),2)</f>
        <v>0</v>
      </c>
      <c r="K31" s="9">
        <f t="shared" ref="K31" si="330">ROUND((I31*0.42)*0.9,2)</f>
        <v>0</v>
      </c>
      <c r="L31" s="66">
        <f t="shared" ref="L31" si="331">IF(J31+K31=I31,H31-I31,"ERROR")</f>
        <v>756567.12999999977</v>
      </c>
      <c r="M31" s="9">
        <f t="shared" ref="M31" si="332">ROUND(L31*0.465,2)</f>
        <v>351803.72</v>
      </c>
      <c r="N31" s="9">
        <f>ROUND(L31*0.3,2)-0.05</f>
        <v>226970.09000000003</v>
      </c>
      <c r="O31" s="9">
        <f>ROUND(L31*0.1285,2)+0.01</f>
        <v>97218.89</v>
      </c>
      <c r="P31" s="9">
        <f t="shared" ref="P31" si="333">ROUND((L31*0.07)*0.9,2)</f>
        <v>47663.73</v>
      </c>
      <c r="Q31" s="9">
        <f>ROUND(L31*0.01,2)+0.01</f>
        <v>7565.68</v>
      </c>
      <c r="R31" s="9">
        <f t="shared" ref="R31" si="334">ROUND((L31*0.0075)*0.9,2)</f>
        <v>5106.83</v>
      </c>
      <c r="S31" s="9">
        <f t="shared" ref="S31" si="335">ROUND((L31*0.0075)*0.9,2)</f>
        <v>5106.83</v>
      </c>
      <c r="T31" s="9">
        <v>11236.67</v>
      </c>
      <c r="U31" s="9">
        <v>3894.69</v>
      </c>
      <c r="V31" s="40">
        <f t="shared" ref="V31" si="336">E31/W31</f>
        <v>1167.5418666666662</v>
      </c>
      <c r="W31" s="10">
        <v>675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44562</v>
      </c>
      <c r="B32" s="9">
        <v>16247789.969999999</v>
      </c>
      <c r="C32" s="9">
        <v>14639002.84</v>
      </c>
      <c r="D32" s="9">
        <v>105338</v>
      </c>
      <c r="E32" s="9">
        <f t="shared" ref="E32" si="337">B32-C32-D32</f>
        <v>1503449.129999999</v>
      </c>
      <c r="F32" s="9">
        <f>ROUND(E32*0.04,2)-0.02</f>
        <v>60137.950000000004</v>
      </c>
      <c r="G32" s="9">
        <f t="shared" ref="G32" si="338">ROUND(E32*0,2)</f>
        <v>0</v>
      </c>
      <c r="H32" s="66">
        <f t="shared" ref="H32" si="339">E32-F32-G32</f>
        <v>1443311.179999999</v>
      </c>
      <c r="I32" s="9">
        <f t="shared" ref="I32" si="340">ROUND(H32*0,2)</f>
        <v>0</v>
      </c>
      <c r="J32" s="9">
        <f t="shared" ref="J32" si="341">ROUND((I32*0.58)+((I32*0.42)*0.1),2)</f>
        <v>0</v>
      </c>
      <c r="K32" s="9">
        <f t="shared" ref="K32" si="342">ROUND((I32*0.42)*0.9,2)</f>
        <v>0</v>
      </c>
      <c r="L32" s="66">
        <f t="shared" ref="L32" si="343">IF(J32+K32=I32,H32-I32,"ERROR")</f>
        <v>1443311.179999999</v>
      </c>
      <c r="M32" s="9">
        <f t="shared" ref="M32" si="344">ROUND(L32*0.465,2)</f>
        <v>671139.7</v>
      </c>
      <c r="N32" s="9">
        <f>ROUND(L32*0.3,2)-0.03</f>
        <v>432993.31999999995</v>
      </c>
      <c r="O32" s="9">
        <f>ROUND(L32*0.1285,2)+0.01</f>
        <v>185465.5</v>
      </c>
      <c r="P32" s="9">
        <f t="shared" ref="P32" si="345">ROUND((L32*0.07)*0.9,2)</f>
        <v>90928.6</v>
      </c>
      <c r="Q32" s="9">
        <f>ROUND(L32*0.01,2)+0.01</f>
        <v>14433.12</v>
      </c>
      <c r="R32" s="9">
        <f t="shared" ref="R32" si="346">ROUND((L32*0.0075)*0.9,2)</f>
        <v>9742.35</v>
      </c>
      <c r="S32" s="9">
        <f t="shared" ref="S32" si="347">ROUND((L32*0.0075)*0.9,2)</f>
        <v>9742.35</v>
      </c>
      <c r="T32" s="9">
        <f>ROUND(L32*0.01,2)+0.01</f>
        <v>14433.12</v>
      </c>
      <c r="U32" s="9">
        <f>ROUND(L32*0.01,2)+0.01</f>
        <v>14433.12</v>
      </c>
      <c r="V32" s="40">
        <f t="shared" ref="V32" si="348">E32/W32</f>
        <v>2172.6143497109811</v>
      </c>
      <c r="W32" s="10">
        <v>692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44569</v>
      </c>
      <c r="B33" s="9">
        <v>7548362.7999999989</v>
      </c>
      <c r="C33" s="9">
        <v>6816584.5499999998</v>
      </c>
      <c r="D33" s="9">
        <v>75366</v>
      </c>
      <c r="E33" s="9">
        <f t="shared" ref="E33" si="349">B33-C33-D33</f>
        <v>656412.24999999907</v>
      </c>
      <c r="F33" s="9">
        <f>ROUND(E33*0.04,2)-0.01</f>
        <v>26256.480000000003</v>
      </c>
      <c r="G33" s="9">
        <f t="shared" ref="G33" si="350">ROUND(E33*0,2)</f>
        <v>0</v>
      </c>
      <c r="H33" s="66">
        <f t="shared" ref="H33" si="351">E33-F33-G33</f>
        <v>630155.76999999909</v>
      </c>
      <c r="I33" s="9">
        <f t="shared" ref="I33" si="352">ROUND(H33*0,2)</f>
        <v>0</v>
      </c>
      <c r="J33" s="9">
        <f t="shared" ref="J33" si="353">ROUND((I33*0.58)+((I33*0.42)*0.1),2)</f>
        <v>0</v>
      </c>
      <c r="K33" s="9">
        <f t="shared" ref="K33" si="354">ROUND((I33*0.42)*0.9,2)</f>
        <v>0</v>
      </c>
      <c r="L33" s="66">
        <f t="shared" ref="L33" si="355">IF(J33+K33=I33,H33-I33,"ERROR")</f>
        <v>630155.76999999909</v>
      </c>
      <c r="M33" s="9">
        <f t="shared" ref="M33" si="356">ROUND(L33*0.465,2)</f>
        <v>293022.43</v>
      </c>
      <c r="N33" s="9">
        <f>ROUND(L33*0.3,2)</f>
        <v>189046.73</v>
      </c>
      <c r="O33" s="9">
        <f>ROUND(L33*0.1285,2)</f>
        <v>80975.02</v>
      </c>
      <c r="P33" s="9">
        <f t="shared" ref="P33" si="357">ROUND((L33*0.07)*0.9,2)</f>
        <v>39699.81</v>
      </c>
      <c r="Q33" s="9">
        <f>ROUND(L33*0.01,2)</f>
        <v>6301.56</v>
      </c>
      <c r="R33" s="9">
        <f t="shared" ref="R33" si="358">ROUND((L33*0.0075)*0.9,2)</f>
        <v>4253.55</v>
      </c>
      <c r="S33" s="9">
        <f t="shared" ref="S33" si="359">ROUND((L33*0.0075)*0.9,2)</f>
        <v>4253.55</v>
      </c>
      <c r="T33" s="9">
        <f>ROUND(L33*0.01,2)</f>
        <v>6301.56</v>
      </c>
      <c r="U33" s="9">
        <f>ROUND(L33*0.01,2)</f>
        <v>6301.56</v>
      </c>
      <c r="V33" s="40">
        <f t="shared" ref="V33" si="360">E33/W33</f>
        <v>1025.6441406249985</v>
      </c>
      <c r="W33" s="10">
        <v>640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44576</v>
      </c>
      <c r="B34" s="9">
        <v>9641275.6500000004</v>
      </c>
      <c r="C34" s="9">
        <v>8790267.2899999991</v>
      </c>
      <c r="D34" s="9">
        <v>85002</v>
      </c>
      <c r="E34" s="9">
        <f t="shared" ref="E34" si="361">B34-C34-D34</f>
        <v>766006.36000000127</v>
      </c>
      <c r="F34" s="9">
        <f>ROUND(E34*0.04,2)+0.02</f>
        <v>30640.27</v>
      </c>
      <c r="G34" s="9">
        <f t="shared" ref="G34" si="362">ROUND(E34*0,2)</f>
        <v>0</v>
      </c>
      <c r="H34" s="66">
        <f t="shared" ref="H34" si="363">E34-F34-G34</f>
        <v>735366.09000000125</v>
      </c>
      <c r="I34" s="9">
        <f t="shared" ref="I34" si="364">ROUND(H34*0,2)</f>
        <v>0</v>
      </c>
      <c r="J34" s="9">
        <f t="shared" ref="J34" si="365">ROUND((I34*0.58)+((I34*0.42)*0.1),2)</f>
        <v>0</v>
      </c>
      <c r="K34" s="9">
        <f t="shared" ref="K34" si="366">ROUND((I34*0.42)*0.9,2)</f>
        <v>0</v>
      </c>
      <c r="L34" s="66">
        <f t="shared" ref="L34" si="367">IF(J34+K34=I34,H34-I34,"ERROR")</f>
        <v>735366.09000000125</v>
      </c>
      <c r="M34" s="9">
        <f t="shared" ref="M34" si="368">ROUND(L34*0.465,2)</f>
        <v>341945.23</v>
      </c>
      <c r="N34" s="9">
        <f>ROUND(L34*0.3,2)</f>
        <v>220609.83</v>
      </c>
      <c r="O34" s="9">
        <f>ROUND(L34*0.1285,2)+0.01</f>
        <v>94494.549999999988</v>
      </c>
      <c r="P34" s="9">
        <f t="shared" ref="P34" si="369">ROUND((L34*0.07)*0.9,2)</f>
        <v>46328.06</v>
      </c>
      <c r="Q34" s="9">
        <f>ROUND(L34*0.01,2)</f>
        <v>7353.66</v>
      </c>
      <c r="R34" s="9">
        <f t="shared" ref="R34" si="370">ROUND((L34*0.0075)*0.9,2)</f>
        <v>4963.72</v>
      </c>
      <c r="S34" s="9">
        <f t="shared" ref="S34" si="371">ROUND((L34*0.0075)*0.9,2)</f>
        <v>4963.72</v>
      </c>
      <c r="T34" s="9">
        <f>ROUND(L34*0.01,2)</f>
        <v>7353.66</v>
      </c>
      <c r="U34" s="9">
        <f>ROUND(L34*0.01,2)</f>
        <v>7353.66</v>
      </c>
      <c r="V34" s="40">
        <f t="shared" ref="V34" si="372">E34/W34</f>
        <v>1148.4353223388325</v>
      </c>
      <c r="W34" s="10">
        <v>667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44583</v>
      </c>
      <c r="B35" s="9">
        <v>7473628.96</v>
      </c>
      <c r="C35" s="9">
        <v>6752129.9100000001</v>
      </c>
      <c r="D35" s="9">
        <v>72902</v>
      </c>
      <c r="E35" s="9">
        <f t="shared" ref="E35" si="373">B35-C35-D35</f>
        <v>648597.04999999981</v>
      </c>
      <c r="F35" s="9">
        <f>ROUND(E35*0.04,2)</f>
        <v>25943.88</v>
      </c>
      <c r="G35" s="9">
        <f t="shared" ref="G35" si="374">ROUND(E35*0,2)</f>
        <v>0</v>
      </c>
      <c r="H35" s="66">
        <f t="shared" ref="H35" si="375">E35-F35-G35</f>
        <v>622653.16999999981</v>
      </c>
      <c r="I35" s="9">
        <f t="shared" ref="I35" si="376">ROUND(H35*0,2)</f>
        <v>0</v>
      </c>
      <c r="J35" s="9">
        <f t="shared" ref="J35" si="377">ROUND((I35*0.58)+((I35*0.42)*0.1),2)</f>
        <v>0</v>
      </c>
      <c r="K35" s="9">
        <f t="shared" ref="K35" si="378">ROUND((I35*0.42)*0.9,2)</f>
        <v>0</v>
      </c>
      <c r="L35" s="66">
        <f t="shared" ref="L35" si="379">IF(J35+K35=I35,H35-I35,"ERROR")</f>
        <v>622653.16999999981</v>
      </c>
      <c r="M35" s="9">
        <f t="shared" ref="M35" si="380">ROUND(L35*0.465,2)</f>
        <v>289533.71999999997</v>
      </c>
      <c r="N35" s="9">
        <f>ROUND(L35*0.3,2)-0.04</f>
        <v>186795.91</v>
      </c>
      <c r="O35" s="9">
        <f>ROUND(L35*0.1285,2)+0.02</f>
        <v>80010.95</v>
      </c>
      <c r="P35" s="9">
        <f t="shared" ref="P35" si="381">ROUND((L35*0.07)*0.9,2)</f>
        <v>39227.15</v>
      </c>
      <c r="Q35" s="9">
        <f>ROUND(L35*0.01,2)+0.01</f>
        <v>6226.54</v>
      </c>
      <c r="R35" s="9">
        <f t="shared" ref="R35" si="382">ROUND((L35*0.0075)*0.9,2)</f>
        <v>4202.91</v>
      </c>
      <c r="S35" s="9">
        <f t="shared" ref="S35" si="383">ROUND((L35*0.0075)*0.9,2)</f>
        <v>4202.91</v>
      </c>
      <c r="T35" s="9">
        <f>ROUND(L35*0.01,2)+0.01</f>
        <v>6226.54</v>
      </c>
      <c r="U35" s="9">
        <f>ROUND(L35*0.01,2)+0.01</f>
        <v>6226.54</v>
      </c>
      <c r="V35" s="40">
        <f t="shared" ref="V35" si="384">E35/W35</f>
        <v>1037.7552799999996</v>
      </c>
      <c r="W35" s="10">
        <v>625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44590</v>
      </c>
      <c r="B36" s="9">
        <v>8866850.0800000001</v>
      </c>
      <c r="C36" s="9">
        <v>8052832.4900000002</v>
      </c>
      <c r="D36" s="9">
        <v>85629</v>
      </c>
      <c r="E36" s="9">
        <f t="shared" ref="E36" si="385">B36-C36-D36</f>
        <v>728388.58999999985</v>
      </c>
      <c r="F36" s="9">
        <f>ROUND(E36*0.04,2)</f>
        <v>29135.54</v>
      </c>
      <c r="G36" s="9">
        <f t="shared" ref="G36" si="386">ROUND(E36*0,2)</f>
        <v>0</v>
      </c>
      <c r="H36" s="66">
        <f t="shared" ref="H36" si="387">E36-F36-G36</f>
        <v>699253.04999999981</v>
      </c>
      <c r="I36" s="9">
        <f t="shared" ref="I36" si="388">ROUND(H36*0,2)</f>
        <v>0</v>
      </c>
      <c r="J36" s="9">
        <f t="shared" ref="J36" si="389">ROUND((I36*0.58)+((I36*0.42)*0.1),2)</f>
        <v>0</v>
      </c>
      <c r="K36" s="9">
        <f t="shared" ref="K36" si="390">ROUND((I36*0.42)*0.9,2)</f>
        <v>0</v>
      </c>
      <c r="L36" s="66">
        <f t="shared" ref="L36" si="391">IF(J36+K36=I36,H36-I36,"ERROR")</f>
        <v>699253.04999999981</v>
      </c>
      <c r="M36" s="9">
        <f t="shared" ref="M36" si="392">ROUND(L36*0.465,2)</f>
        <v>325152.67</v>
      </c>
      <c r="N36" s="9">
        <f>ROUND(L36*0.3,2)-0.05</f>
        <v>209775.87000000002</v>
      </c>
      <c r="O36" s="9">
        <f>ROUND(L36*0.1285,2)+0.01</f>
        <v>89854.03</v>
      </c>
      <c r="P36" s="9">
        <f t="shared" ref="P36" si="393">ROUND((L36*0.07)*0.9,2)</f>
        <v>44052.94</v>
      </c>
      <c r="Q36" s="9">
        <f>ROUND(L36*0.01,2)+0.01</f>
        <v>6992.54</v>
      </c>
      <c r="R36" s="9">
        <f t="shared" ref="R36" si="394">ROUND((L36*0.0075)*0.9,2)</f>
        <v>4719.96</v>
      </c>
      <c r="S36" s="9">
        <f t="shared" ref="S36" si="395">ROUND((L36*0.0075)*0.9,2)</f>
        <v>4719.96</v>
      </c>
      <c r="T36" s="9">
        <f>ROUND(L36*0.01,2)+0.01</f>
        <v>6992.54</v>
      </c>
      <c r="U36" s="9">
        <f>ROUND(L36*0.01,2)+0.01</f>
        <v>6992.54</v>
      </c>
      <c r="V36" s="40">
        <f t="shared" ref="V36" si="396">E36/W36</f>
        <v>1117.1604141104292</v>
      </c>
      <c r="W36" s="10">
        <v>652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44597</v>
      </c>
      <c r="B37" s="9">
        <v>9713097.7300000004</v>
      </c>
      <c r="C37" s="9">
        <v>8788024.0700000003</v>
      </c>
      <c r="D37" s="9">
        <v>87728</v>
      </c>
      <c r="E37" s="9">
        <f t="shared" ref="E37" si="397">B37-C37-D37</f>
        <v>837345.66000000015</v>
      </c>
      <c r="F37" s="9">
        <f>ROUND(E37*0.04,2)-0.02</f>
        <v>33493.810000000005</v>
      </c>
      <c r="G37" s="9">
        <f t="shared" ref="G37" si="398">ROUND(E37*0,2)</f>
        <v>0</v>
      </c>
      <c r="H37" s="66">
        <f t="shared" ref="H37" si="399">E37-F37-G37</f>
        <v>803851.85000000009</v>
      </c>
      <c r="I37" s="9">
        <f t="shared" ref="I37" si="400">ROUND(H37*0,2)</f>
        <v>0</v>
      </c>
      <c r="J37" s="9">
        <f t="shared" ref="J37" si="401">ROUND((I37*0.58)+((I37*0.42)*0.1),2)</f>
        <v>0</v>
      </c>
      <c r="K37" s="9">
        <f t="shared" ref="K37" si="402">ROUND((I37*0.42)*0.9,2)</f>
        <v>0</v>
      </c>
      <c r="L37" s="66">
        <f t="shared" ref="L37" si="403">IF(J37+K37=I37,H37-I37,"ERROR")</f>
        <v>803851.85000000009</v>
      </c>
      <c r="M37" s="9">
        <f t="shared" ref="M37" si="404">ROUND(L37*0.465,2)</f>
        <v>373791.11</v>
      </c>
      <c r="N37" s="9">
        <f>ROUND(L37*0.3,2)-0.01</f>
        <v>241155.55</v>
      </c>
      <c r="O37" s="9">
        <f>ROUND(L37*0.1285,2)</f>
        <v>103294.96</v>
      </c>
      <c r="P37" s="9">
        <f t="shared" ref="P37" si="405">ROUND((L37*0.07)*0.9,2)</f>
        <v>50642.67</v>
      </c>
      <c r="Q37" s="9">
        <f>ROUND(L37*0.01,2)</f>
        <v>8038.52</v>
      </c>
      <c r="R37" s="9">
        <f t="shared" ref="R37" si="406">ROUND((L37*0.0075)*0.9,2)</f>
        <v>5426</v>
      </c>
      <c r="S37" s="9">
        <f t="shared" ref="S37" si="407">ROUND((L37*0.0075)*0.9,2)</f>
        <v>5426</v>
      </c>
      <c r="T37" s="9">
        <f>ROUND(L37*0.01,2)</f>
        <v>8038.52</v>
      </c>
      <c r="U37" s="9">
        <f>ROUND(L37*0.01,2)</f>
        <v>8038.52</v>
      </c>
      <c r="V37" s="40">
        <f t="shared" ref="V37" si="408">E37/W37</f>
        <v>1249.7696417910449</v>
      </c>
      <c r="W37" s="10">
        <v>670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44604</v>
      </c>
      <c r="B38" s="9">
        <v>11994297.789999999</v>
      </c>
      <c r="C38" s="9">
        <v>10876228.07</v>
      </c>
      <c r="D38" s="9">
        <v>98248</v>
      </c>
      <c r="E38" s="9">
        <f t="shared" ref="E38" si="409">B38-C38-D38</f>
        <v>1019821.7199999988</v>
      </c>
      <c r="F38" s="9">
        <f>ROUND(E38*0.04,2)</f>
        <v>40792.870000000003</v>
      </c>
      <c r="G38" s="9">
        <f t="shared" ref="G38" si="410">ROUND(E38*0,2)</f>
        <v>0</v>
      </c>
      <c r="H38" s="66">
        <f t="shared" ref="H38" si="411">E38-F38-G38</f>
        <v>979028.84999999881</v>
      </c>
      <c r="I38" s="9">
        <f t="shared" ref="I38" si="412">ROUND(H38*0,2)</f>
        <v>0</v>
      </c>
      <c r="J38" s="9">
        <f t="shared" ref="J38" si="413">ROUND((I38*0.58)+((I38*0.42)*0.1),2)</f>
        <v>0</v>
      </c>
      <c r="K38" s="9">
        <f t="shared" ref="K38" si="414">ROUND((I38*0.42)*0.9,2)</f>
        <v>0</v>
      </c>
      <c r="L38" s="66">
        <f t="shared" ref="L38" si="415">IF(J38+K38=I38,H38-I38,"ERROR")</f>
        <v>979028.84999999881</v>
      </c>
      <c r="M38" s="9">
        <f t="shared" ref="M38" si="416">ROUND(L38*0.465,2)</f>
        <v>455248.42</v>
      </c>
      <c r="N38" s="9">
        <f>ROUND(L38*0.3,2)+0.03</f>
        <v>293708.69</v>
      </c>
      <c r="O38" s="9">
        <f>ROUND(L38*0.1285,2)-0.01</f>
        <v>125805.20000000001</v>
      </c>
      <c r="P38" s="9">
        <f t="shared" ref="P38" si="417">ROUND((L38*0.07)*0.9,2)</f>
        <v>61678.82</v>
      </c>
      <c r="Q38" s="9">
        <f>ROUND(L38*0.01,2)-0.01</f>
        <v>9790.2800000000007</v>
      </c>
      <c r="R38" s="9">
        <f t="shared" ref="R38" si="418">ROUND((L38*0.0075)*0.9,2)</f>
        <v>6608.44</v>
      </c>
      <c r="S38" s="9">
        <f t="shared" ref="S38" si="419">ROUND((L38*0.0075)*0.9,2)</f>
        <v>6608.44</v>
      </c>
      <c r="T38" s="9">
        <f>ROUND(L38*0.01,2)-0.01</f>
        <v>9790.2800000000007</v>
      </c>
      <c r="U38" s="9">
        <f>ROUND(L38*0.01,2)-0.01</f>
        <v>9790.2800000000007</v>
      </c>
      <c r="V38" s="40">
        <f t="shared" ref="V38" si="420">E38/W38</f>
        <v>1504.1618289085527</v>
      </c>
      <c r="W38" s="10">
        <v>678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44611</v>
      </c>
      <c r="B39" s="9">
        <v>11662692.670000002</v>
      </c>
      <c r="C39" s="9">
        <v>10552184.02</v>
      </c>
      <c r="D39" s="9">
        <v>101062</v>
      </c>
      <c r="E39" s="9">
        <f t="shared" ref="E39" si="421">B39-C39-D39</f>
        <v>1009446.6500000022</v>
      </c>
      <c r="F39" s="9">
        <f>ROUND(E39*0.04,2)+0.01</f>
        <v>40377.880000000005</v>
      </c>
      <c r="G39" s="9">
        <f t="shared" ref="G39" si="422">ROUND(E39*0,2)</f>
        <v>0</v>
      </c>
      <c r="H39" s="66">
        <f t="shared" ref="H39" si="423">E39-F39-G39</f>
        <v>969068.77000000223</v>
      </c>
      <c r="I39" s="9">
        <f t="shared" ref="I39" si="424">ROUND(H39*0,2)</f>
        <v>0</v>
      </c>
      <c r="J39" s="9">
        <f t="shared" ref="J39" si="425">ROUND((I39*0.58)+((I39*0.42)*0.1),2)</f>
        <v>0</v>
      </c>
      <c r="K39" s="9">
        <f t="shared" ref="K39" si="426">ROUND((I39*0.42)*0.9,2)</f>
        <v>0</v>
      </c>
      <c r="L39" s="66">
        <f t="shared" ref="L39" si="427">IF(J39+K39=I39,H39-I39,"ERROR")</f>
        <v>969068.77000000223</v>
      </c>
      <c r="M39" s="9">
        <f t="shared" ref="M39" si="428">ROUND(L39*0.465,2)</f>
        <v>450616.98</v>
      </c>
      <c r="N39" s="9">
        <f>ROUND(L39*0.3,2)+0.03</f>
        <v>290720.66000000003</v>
      </c>
      <c r="O39" s="9">
        <f>ROUND(L39*0.1285,2)</f>
        <v>124525.34</v>
      </c>
      <c r="P39" s="9">
        <f t="shared" ref="P39" si="429">ROUND((L39*0.07)*0.9,2)</f>
        <v>61051.33</v>
      </c>
      <c r="Q39" s="9">
        <f>ROUND(L39*0.01,2)-0.01</f>
        <v>9690.68</v>
      </c>
      <c r="R39" s="9">
        <f t="shared" ref="R39" si="430">ROUND((L39*0.0075)*0.9,2)</f>
        <v>6541.21</v>
      </c>
      <c r="S39" s="9">
        <f t="shared" ref="S39" si="431">ROUND((L39*0.0075)*0.9,2)</f>
        <v>6541.21</v>
      </c>
      <c r="T39" s="9">
        <f>ROUND(L39*0.01,2)-0.01</f>
        <v>9690.68</v>
      </c>
      <c r="U39" s="9">
        <f>ROUND(L39*0.01,2)-0.01</f>
        <v>9690.68</v>
      </c>
      <c r="V39" s="40">
        <f t="shared" ref="V39" si="432">E39/W39</f>
        <v>1484.4803676470622</v>
      </c>
      <c r="W39" s="10">
        <v>680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44618</v>
      </c>
      <c r="B40" s="9">
        <v>12519716.510000002</v>
      </c>
      <c r="C40" s="9">
        <v>11279607.02</v>
      </c>
      <c r="D40" s="9">
        <v>107643</v>
      </c>
      <c r="E40" s="9">
        <f t="shared" ref="E40" si="433">B40-C40-D40</f>
        <v>1132466.4900000021</v>
      </c>
      <c r="F40" s="9">
        <f>ROUND(E40*0.04,2)</f>
        <v>45298.66</v>
      </c>
      <c r="G40" s="9">
        <f t="shared" ref="G40" si="434">ROUND(E40*0,2)</f>
        <v>0</v>
      </c>
      <c r="H40" s="66">
        <f t="shared" ref="H40" si="435">E40-F40-G40</f>
        <v>1087167.8300000022</v>
      </c>
      <c r="I40" s="9">
        <f t="shared" ref="I40" si="436">ROUND(H40*0,2)</f>
        <v>0</v>
      </c>
      <c r="J40" s="9">
        <f t="shared" ref="J40" si="437">ROUND((I40*0.58)+((I40*0.42)*0.1),2)</f>
        <v>0</v>
      </c>
      <c r="K40" s="9">
        <f t="shared" ref="K40" si="438">ROUND((I40*0.42)*0.9,2)</f>
        <v>0</v>
      </c>
      <c r="L40" s="66">
        <f t="shared" ref="L40" si="439">IF(J40+K40=I40,H40-I40,"ERROR")</f>
        <v>1087167.8300000022</v>
      </c>
      <c r="M40" s="9">
        <f t="shared" ref="M40" si="440">ROUND(L40*0.465,2)</f>
        <v>505533.04</v>
      </c>
      <c r="N40" s="9">
        <f>ROUND(L40*0.3,2)-0.02</f>
        <v>326150.32999999996</v>
      </c>
      <c r="O40" s="9">
        <f>ROUND(L40*0.1285,2)+0.02</f>
        <v>139701.09</v>
      </c>
      <c r="P40" s="9">
        <f t="shared" ref="P40" si="441">ROUND((L40*0.07)*0.9,2)</f>
        <v>68491.570000000007</v>
      </c>
      <c r="Q40" s="9">
        <f>ROUND(L40*0.01,2)</f>
        <v>10871.68</v>
      </c>
      <c r="R40" s="9">
        <f t="shared" ref="R40" si="442">ROUND((L40*0.0075)*0.9,2)</f>
        <v>7338.38</v>
      </c>
      <c r="S40" s="9">
        <f t="shared" ref="S40" si="443">ROUND((L40*0.0075)*0.9,2)</f>
        <v>7338.38</v>
      </c>
      <c r="T40" s="9">
        <f>ROUND(L40*0.01,2)</f>
        <v>10871.68</v>
      </c>
      <c r="U40" s="9">
        <f>ROUND(L40*0.01,2)</f>
        <v>10871.68</v>
      </c>
      <c r="V40" s="40">
        <f t="shared" ref="V40" si="444">E40/W40</f>
        <v>1677.7281333333365</v>
      </c>
      <c r="W40" s="10">
        <v>675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4.25" customHeight="1" x14ac:dyDescent="0.25">
      <c r="A41" s="8">
        <f>Mountaineer!A41</f>
        <v>44625</v>
      </c>
      <c r="B41" s="9">
        <v>12298990.199999999</v>
      </c>
      <c r="C41" s="9">
        <v>11116903.49</v>
      </c>
      <c r="D41" s="9">
        <v>108848</v>
      </c>
      <c r="E41" s="9">
        <f t="shared" ref="E41" si="445">B41-C41-D41</f>
        <v>1073238.709999999</v>
      </c>
      <c r="F41" s="9">
        <f>ROUND(E41*0.04,2)-0.01</f>
        <v>42929.54</v>
      </c>
      <c r="G41" s="9">
        <f t="shared" ref="G41" si="446">ROUND(E41*0,2)</f>
        <v>0</v>
      </c>
      <c r="H41" s="66">
        <f t="shared" ref="H41" si="447">E41-F41-G41</f>
        <v>1030309.169999999</v>
      </c>
      <c r="I41" s="9">
        <f t="shared" ref="I41" si="448">ROUND(H41*0,2)</f>
        <v>0</v>
      </c>
      <c r="J41" s="9">
        <f t="shared" ref="J41" si="449">ROUND((I41*0.58)+((I41*0.42)*0.1),2)</f>
        <v>0</v>
      </c>
      <c r="K41" s="9">
        <f t="shared" ref="K41" si="450">ROUND((I41*0.42)*0.9,2)</f>
        <v>0</v>
      </c>
      <c r="L41" s="66">
        <f t="shared" ref="L41" si="451">IF(J41+K41=I41,H41-I41,"ERROR")</f>
        <v>1030309.169999999</v>
      </c>
      <c r="M41" s="9">
        <f t="shared" ref="M41" si="452">ROUND(L41*0.465,2)</f>
        <v>479093.76000000001</v>
      </c>
      <c r="N41" s="9">
        <f>ROUND(L41*0.3,2)-0.04</f>
        <v>309092.71000000002</v>
      </c>
      <c r="O41" s="9">
        <f>ROUND(L41*0.1285,2)+0.01</f>
        <v>132394.74000000002</v>
      </c>
      <c r="P41" s="9">
        <f t="shared" ref="P41" si="453">ROUND((L41*0.07)*0.9,2)</f>
        <v>64909.48</v>
      </c>
      <c r="Q41" s="9">
        <f>ROUND(L41*0.01,2)+0.01</f>
        <v>10303.1</v>
      </c>
      <c r="R41" s="9">
        <f t="shared" ref="R41" si="454">ROUND((L41*0.0075)*0.9,2)</f>
        <v>6954.59</v>
      </c>
      <c r="S41" s="9">
        <f t="shared" ref="S41" si="455">ROUND((L41*0.0075)*0.9,2)</f>
        <v>6954.59</v>
      </c>
      <c r="T41" s="9">
        <f>ROUND(L41*0.01,2)+0.01</f>
        <v>10303.1</v>
      </c>
      <c r="U41" s="9">
        <f>ROUND(L41*0.01,2)+0.01</f>
        <v>10303.1</v>
      </c>
      <c r="V41" s="40">
        <f t="shared" ref="V41" si="456">E41/W41</f>
        <v>1597.0814136904748</v>
      </c>
      <c r="W41" s="10">
        <v>672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4.25" customHeight="1" x14ac:dyDescent="0.25">
      <c r="A42" s="8">
        <f>Mountaineer!A42</f>
        <v>44632</v>
      </c>
      <c r="B42" s="9">
        <v>10740885.900000002</v>
      </c>
      <c r="C42" s="9">
        <v>9785754.8900000006</v>
      </c>
      <c r="D42" s="9">
        <v>100044</v>
      </c>
      <c r="E42" s="9">
        <f t="shared" ref="E42" si="457">B42-C42-D42</f>
        <v>855087.01000000164</v>
      </c>
      <c r="F42" s="9">
        <f>ROUND(E42*0.04,2)</f>
        <v>34203.480000000003</v>
      </c>
      <c r="G42" s="9">
        <f t="shared" ref="G42" si="458">ROUND(E42*0,2)</f>
        <v>0</v>
      </c>
      <c r="H42" s="66">
        <f t="shared" ref="H42" si="459">E42-F42-G42</f>
        <v>820883.53000000166</v>
      </c>
      <c r="I42" s="9">
        <f t="shared" ref="I42" si="460">ROUND(H42*0,2)</f>
        <v>0</v>
      </c>
      <c r="J42" s="9">
        <f t="shared" ref="J42" si="461">ROUND((I42*0.58)+((I42*0.42)*0.1),2)</f>
        <v>0</v>
      </c>
      <c r="K42" s="9">
        <f t="shared" ref="K42" si="462">ROUND((I42*0.42)*0.9,2)</f>
        <v>0</v>
      </c>
      <c r="L42" s="66">
        <f t="shared" ref="L42" si="463">IF(J42+K42=I42,H42-I42,"ERROR")</f>
        <v>820883.53000000166</v>
      </c>
      <c r="M42" s="9">
        <f t="shared" ref="M42" si="464">ROUND(L42*0.465,2)</f>
        <v>381710.84</v>
      </c>
      <c r="N42" s="9">
        <f>ROUND(L42*0.3,2)-0.03</f>
        <v>246265.03</v>
      </c>
      <c r="O42" s="9">
        <f>ROUND(L42*0.1285,2)+0.03</f>
        <v>105483.56</v>
      </c>
      <c r="P42" s="9">
        <f t="shared" ref="P42" si="465">ROUND((L42*0.07)*0.9,2)</f>
        <v>51715.66</v>
      </c>
      <c r="Q42" s="9">
        <f>ROUND(L42*0.01,2)</f>
        <v>8208.84</v>
      </c>
      <c r="R42" s="9">
        <f t="shared" ref="R42" si="466">ROUND((L42*0.0075)*0.9,2)</f>
        <v>5540.96</v>
      </c>
      <c r="S42" s="9">
        <f t="shared" ref="S42" si="467">ROUND((L42*0.0075)*0.9,2)</f>
        <v>5540.96</v>
      </c>
      <c r="T42" s="9">
        <f>ROUND(L42*0.01,2)</f>
        <v>8208.84</v>
      </c>
      <c r="U42" s="9">
        <f>ROUND(L42*0.01,2)</f>
        <v>8208.84</v>
      </c>
      <c r="V42" s="40">
        <f t="shared" ref="V42" si="468">E42/W42</f>
        <v>1251.9575549048341</v>
      </c>
      <c r="W42" s="10">
        <v>683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4.25" customHeight="1" x14ac:dyDescent="0.25">
      <c r="A43" s="8">
        <f>Mountaineer!A43</f>
        <v>44639</v>
      </c>
      <c r="B43" s="9">
        <v>12803515.279999999</v>
      </c>
      <c r="C43" s="9">
        <v>11548313.77</v>
      </c>
      <c r="D43" s="9">
        <v>113019</v>
      </c>
      <c r="E43" s="9">
        <f t="shared" ref="E43" si="469">B43-C43-D43</f>
        <v>1142182.5099999998</v>
      </c>
      <c r="F43" s="9">
        <f>ROUND(E43*0.04,2)</f>
        <v>45687.3</v>
      </c>
      <c r="G43" s="9">
        <f t="shared" ref="G43" si="470">ROUND(E43*0,2)</f>
        <v>0</v>
      </c>
      <c r="H43" s="66">
        <f t="shared" ref="H43" si="471">E43-F43-G43</f>
        <v>1096495.2099999997</v>
      </c>
      <c r="I43" s="9">
        <f t="shared" ref="I43" si="472">ROUND(H43*0,2)</f>
        <v>0</v>
      </c>
      <c r="J43" s="9">
        <f t="shared" ref="J43" si="473">ROUND((I43*0.58)+((I43*0.42)*0.1),2)</f>
        <v>0</v>
      </c>
      <c r="K43" s="9">
        <f t="shared" ref="K43" si="474">ROUND((I43*0.42)*0.9,2)</f>
        <v>0</v>
      </c>
      <c r="L43" s="66">
        <f t="shared" ref="L43" si="475">IF(J43+K43=I43,H43-I43,"ERROR")</f>
        <v>1096495.2099999997</v>
      </c>
      <c r="M43" s="9">
        <f t="shared" ref="M43" si="476">ROUND(L43*0.465,2)</f>
        <v>509870.27</v>
      </c>
      <c r="N43" s="9">
        <f>ROUND(L43*0.3,2)-0.02</f>
        <v>328948.53999999998</v>
      </c>
      <c r="O43" s="9">
        <f>ROUND(L43*0.1285,2)+0.01</f>
        <v>140899.64000000001</v>
      </c>
      <c r="P43" s="9">
        <f t="shared" ref="P43" si="477">ROUND((L43*0.07)*0.9,2)</f>
        <v>69079.199999999997</v>
      </c>
      <c r="Q43" s="9">
        <f>ROUND(L43*0.01,2)+0.01</f>
        <v>10964.960000000001</v>
      </c>
      <c r="R43" s="9">
        <f t="shared" ref="R43" si="478">ROUND((L43*0.0075)*0.9,2)</f>
        <v>7401.34</v>
      </c>
      <c r="S43" s="9">
        <f t="shared" ref="S43" si="479">ROUND((L43*0.0075)*0.9,2)</f>
        <v>7401.34</v>
      </c>
      <c r="T43" s="9">
        <f>ROUND(L43*0.01,2)+0.01</f>
        <v>10964.960000000001</v>
      </c>
      <c r="U43" s="9">
        <f>ROUND(L43*0.01,2)+0.01</f>
        <v>10964.960000000001</v>
      </c>
      <c r="V43" s="40">
        <f t="shared" ref="V43" si="480">E43/W43</f>
        <v>1682.1539175257728</v>
      </c>
      <c r="W43" s="10">
        <v>679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4.25" customHeight="1" x14ac:dyDescent="0.25">
      <c r="A44" s="8">
        <f>Mountaineer!A44</f>
        <v>44646</v>
      </c>
      <c r="B44" s="9">
        <v>12260449.939999999</v>
      </c>
      <c r="C44" s="9">
        <v>11074623.530000001</v>
      </c>
      <c r="D44" s="9">
        <v>116650</v>
      </c>
      <c r="E44" s="9">
        <f t="shared" ref="E44" si="481">B44-C44-D44</f>
        <v>1069176.4099999983</v>
      </c>
      <c r="F44" s="9">
        <f>ROUND(E44*0.04,2)-0.01</f>
        <v>42767.049999999996</v>
      </c>
      <c r="G44" s="9">
        <f t="shared" ref="G44" si="482">ROUND(E44*0,2)</f>
        <v>0</v>
      </c>
      <c r="H44" s="66">
        <f t="shared" ref="H44" si="483">E44-F44-G44</f>
        <v>1026409.3599999982</v>
      </c>
      <c r="I44" s="9">
        <f t="shared" ref="I44" si="484">ROUND(H44*0,2)</f>
        <v>0</v>
      </c>
      <c r="J44" s="9">
        <f t="shared" ref="J44" si="485">ROUND((I44*0.58)+((I44*0.42)*0.1),2)</f>
        <v>0</v>
      </c>
      <c r="K44" s="9">
        <f t="shared" ref="K44" si="486">ROUND((I44*0.42)*0.9,2)</f>
        <v>0</v>
      </c>
      <c r="L44" s="66">
        <f t="shared" ref="L44" si="487">IF(J44+K44=I44,H44-I44,"ERROR")</f>
        <v>1026409.3599999982</v>
      </c>
      <c r="M44" s="9">
        <f t="shared" ref="M44" si="488">ROUND(L44*0.465,2)</f>
        <v>477280.35</v>
      </c>
      <c r="N44" s="9">
        <f>ROUND(L44*0.3,2)-0.05</f>
        <v>307922.76</v>
      </c>
      <c r="O44" s="9">
        <f>ROUND(L44*0.1285,2)+0.04</f>
        <v>131893.64000000001</v>
      </c>
      <c r="P44" s="9">
        <f t="shared" ref="P44" si="489">ROUND((L44*0.07)*0.9,2)</f>
        <v>64663.79</v>
      </c>
      <c r="Q44" s="9">
        <f>ROUND(L44*0.01,2)+0.01</f>
        <v>10264.1</v>
      </c>
      <c r="R44" s="9">
        <f t="shared" ref="R44" si="490">ROUND((L44*0.0075)*0.9,2)</f>
        <v>6928.26</v>
      </c>
      <c r="S44" s="9">
        <f t="shared" ref="S44" si="491">ROUND((L44*0.0075)*0.9,2)</f>
        <v>6928.26</v>
      </c>
      <c r="T44" s="9">
        <f>ROUND(L44*0.01,2)+0.01</f>
        <v>10264.1</v>
      </c>
      <c r="U44" s="9">
        <f>ROUND(L44*0.01,2)+0.01</f>
        <v>10264.1</v>
      </c>
      <c r="V44" s="40">
        <f t="shared" ref="V44" si="492">E44/W44</f>
        <v>1554.0354796511604</v>
      </c>
      <c r="W44" s="10">
        <v>688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4.25" customHeight="1" x14ac:dyDescent="0.25">
      <c r="A45" s="8">
        <f>Mountaineer!A45</f>
        <v>44653</v>
      </c>
      <c r="B45" s="9">
        <v>12495623.979999999</v>
      </c>
      <c r="C45" s="9">
        <v>11410162.879999999</v>
      </c>
      <c r="D45" s="9">
        <v>121066</v>
      </c>
      <c r="E45" s="9">
        <f t="shared" ref="E45" si="493">B45-C45-D45</f>
        <v>964395.09999999963</v>
      </c>
      <c r="F45" s="9">
        <f>ROUND(E45*0.04,2)+0.01</f>
        <v>38575.810000000005</v>
      </c>
      <c r="G45" s="9">
        <f t="shared" ref="G45" si="494">ROUND(E45*0,2)</f>
        <v>0</v>
      </c>
      <c r="H45" s="66">
        <f t="shared" ref="H45" si="495">E45-F45-G45</f>
        <v>925819.28999999957</v>
      </c>
      <c r="I45" s="9">
        <f t="shared" ref="I45" si="496">ROUND(H45*0,2)</f>
        <v>0</v>
      </c>
      <c r="J45" s="9">
        <f t="shared" ref="J45" si="497">ROUND((I45*0.58)+((I45*0.42)*0.1),2)</f>
        <v>0</v>
      </c>
      <c r="K45" s="9">
        <f t="shared" ref="K45" si="498">ROUND((I45*0.42)*0.9,2)</f>
        <v>0</v>
      </c>
      <c r="L45" s="66">
        <f t="shared" ref="L45" si="499">IF(J45+K45=I45,H45-I45,"ERROR")</f>
        <v>925819.28999999957</v>
      </c>
      <c r="M45" s="9">
        <f t="shared" ref="M45" si="500">ROUND(L45*0.465,2)</f>
        <v>430505.97</v>
      </c>
      <c r="N45" s="9">
        <f>ROUND(L45*0.3,2)-0.04</f>
        <v>277745.75</v>
      </c>
      <c r="O45" s="9">
        <f>ROUND(L45*0.1285,2)+0.01</f>
        <v>118967.79</v>
      </c>
      <c r="P45" s="9">
        <f t="shared" ref="P45" si="501">ROUND((L45*0.07)*0.9,2)</f>
        <v>58326.62</v>
      </c>
      <c r="Q45" s="9">
        <f>ROUND(L45*0.01,2)+0.01</f>
        <v>9258.2000000000007</v>
      </c>
      <c r="R45" s="9">
        <f t="shared" ref="R45" si="502">ROUND((L45*0.0075)*0.9,2)</f>
        <v>6249.28</v>
      </c>
      <c r="S45" s="9">
        <f t="shared" ref="S45" si="503">ROUND((L45*0.0075)*0.9,2)</f>
        <v>6249.28</v>
      </c>
      <c r="T45" s="9">
        <f>ROUND(L45*0.01,2)+0.01</f>
        <v>9258.2000000000007</v>
      </c>
      <c r="U45" s="9">
        <f>ROUND(L45*0.01,2)+0.01</f>
        <v>9258.2000000000007</v>
      </c>
      <c r="V45" s="40">
        <f t="shared" ref="V45" si="504">E45/W45</f>
        <v>1452.402259036144</v>
      </c>
      <c r="W45" s="10">
        <v>664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4.25" customHeight="1" x14ac:dyDescent="0.25">
      <c r="A46" s="8">
        <f>Mountaineer!A46</f>
        <v>44660</v>
      </c>
      <c r="B46" s="9">
        <v>11904211.369999999</v>
      </c>
      <c r="C46" s="9">
        <v>10669176.050000001</v>
      </c>
      <c r="D46" s="9">
        <v>116716</v>
      </c>
      <c r="E46" s="9">
        <f t="shared" ref="E46" si="505">B46-C46-D46</f>
        <v>1118319.3199999984</v>
      </c>
      <c r="F46" s="9">
        <f>ROUND(E46*0.04,2)</f>
        <v>44732.77</v>
      </c>
      <c r="G46" s="9">
        <f t="shared" ref="G46" si="506">ROUND(E46*0,2)</f>
        <v>0</v>
      </c>
      <c r="H46" s="66">
        <f t="shared" ref="H46" si="507">E46-F46-G46</f>
        <v>1073586.5499999984</v>
      </c>
      <c r="I46" s="9">
        <f t="shared" ref="I46" si="508">ROUND(H46*0,2)</f>
        <v>0</v>
      </c>
      <c r="J46" s="9">
        <f t="shared" ref="J46" si="509">ROUND((I46*0.58)+((I46*0.42)*0.1),2)</f>
        <v>0</v>
      </c>
      <c r="K46" s="9">
        <f t="shared" ref="K46" si="510">ROUND((I46*0.42)*0.9,2)</f>
        <v>0</v>
      </c>
      <c r="L46" s="66">
        <f t="shared" ref="L46" si="511">IF(J46+K46=I46,H46-I46,"ERROR")</f>
        <v>1073586.5499999984</v>
      </c>
      <c r="M46" s="9">
        <f t="shared" ref="M46" si="512">ROUND(L46*0.465,2)</f>
        <v>499217.75</v>
      </c>
      <c r="N46" s="9">
        <f>ROUND(L46*0.3,2)+0.01</f>
        <v>322075.98</v>
      </c>
      <c r="O46" s="9">
        <f>ROUND(L46*0.1285,2)</f>
        <v>137955.87</v>
      </c>
      <c r="P46" s="9">
        <f t="shared" ref="P46" si="513">ROUND((L46*0.07)*0.9,2)</f>
        <v>67635.95</v>
      </c>
      <c r="Q46" s="9">
        <f>ROUND(L46*0.01,2)-0.01</f>
        <v>10735.86</v>
      </c>
      <c r="R46" s="9">
        <f t="shared" ref="R46" si="514">ROUND((L46*0.0075)*0.9,2)</f>
        <v>7246.71</v>
      </c>
      <c r="S46" s="9">
        <f t="shared" ref="S46" si="515">ROUND((L46*0.0075)*0.9,2)</f>
        <v>7246.71</v>
      </c>
      <c r="T46" s="9">
        <f>ROUND(L46*0.01,2)-0.01</f>
        <v>10735.86</v>
      </c>
      <c r="U46" s="9">
        <f>ROUND(L46*0.01,2)-0.01</f>
        <v>10735.86</v>
      </c>
      <c r="V46" s="40">
        <f t="shared" ref="V46" si="516">E46/W46</f>
        <v>1696.9944157814848</v>
      </c>
      <c r="W46" s="10">
        <v>659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4.25" customHeight="1" x14ac:dyDescent="0.25">
      <c r="A47" s="8">
        <f>Mountaineer!A47</f>
        <v>44667</v>
      </c>
      <c r="B47" s="9">
        <v>11667333.689999999</v>
      </c>
      <c r="C47" s="9">
        <v>10601948.190000001</v>
      </c>
      <c r="D47" s="9">
        <v>117663</v>
      </c>
      <c r="E47" s="9">
        <f t="shared" ref="E47" si="517">B47-C47-D47</f>
        <v>947722.49999999814</v>
      </c>
      <c r="F47" s="9">
        <f>ROUND(E47*0.04,2)</f>
        <v>37908.9</v>
      </c>
      <c r="G47" s="9">
        <f t="shared" ref="G47" si="518">ROUND(E47*0,2)</f>
        <v>0</v>
      </c>
      <c r="H47" s="66">
        <f t="shared" ref="H47" si="519">E47-F47-G47</f>
        <v>909813.59999999811</v>
      </c>
      <c r="I47" s="9">
        <f t="shared" ref="I47" si="520">ROUND(H47*0,2)</f>
        <v>0</v>
      </c>
      <c r="J47" s="9">
        <f t="shared" ref="J47" si="521">ROUND((I47*0.58)+((I47*0.42)*0.1),2)</f>
        <v>0</v>
      </c>
      <c r="K47" s="9">
        <f t="shared" ref="K47" si="522">ROUND((I47*0.42)*0.9,2)</f>
        <v>0</v>
      </c>
      <c r="L47" s="66">
        <f t="shared" ref="L47" si="523">IF(J47+K47=I47,H47-I47,"ERROR")</f>
        <v>909813.59999999811</v>
      </c>
      <c r="M47" s="9">
        <f t="shared" ref="M47" si="524">ROUND(L47*0.465,2)</f>
        <v>423063.32</v>
      </c>
      <c r="N47" s="9">
        <f>ROUND(L47*0.3,2)-0.01</f>
        <v>272944.07</v>
      </c>
      <c r="O47" s="9">
        <f>ROUND(L47*0.1285,2)</f>
        <v>116911.05</v>
      </c>
      <c r="P47" s="9">
        <f t="shared" ref="P47" si="525">ROUND((L47*0.07)*0.9,2)</f>
        <v>57318.26</v>
      </c>
      <c r="Q47" s="9">
        <f>ROUND(L47*0.01,2)</f>
        <v>9098.14</v>
      </c>
      <c r="R47" s="9">
        <f t="shared" ref="R47" si="526">ROUND((L47*0.0075)*0.9,2)</f>
        <v>6141.24</v>
      </c>
      <c r="S47" s="9">
        <f t="shared" ref="S47" si="527">ROUND((L47*0.0075)*0.9,2)</f>
        <v>6141.24</v>
      </c>
      <c r="T47" s="9">
        <f>ROUND(L47*0.01,2)</f>
        <v>9098.14</v>
      </c>
      <c r="U47" s="9">
        <f>ROUND(L47*0.01,2)</f>
        <v>9098.14</v>
      </c>
      <c r="V47" s="40">
        <f t="shared" ref="V47" si="528">E47/W47</f>
        <v>1414.511194029848</v>
      </c>
      <c r="W47" s="10">
        <v>670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4.25" customHeight="1" x14ac:dyDescent="0.25">
      <c r="A48" s="8">
        <f>Mountaineer!A48</f>
        <v>44674</v>
      </c>
      <c r="B48" s="9">
        <v>11239660.93</v>
      </c>
      <c r="C48" s="9">
        <v>10186333.629999999</v>
      </c>
      <c r="D48" s="9">
        <v>103326</v>
      </c>
      <c r="E48" s="9">
        <f t="shared" ref="E48" si="529">B48-C48-D48</f>
        <v>950001.30000000075</v>
      </c>
      <c r="F48" s="9">
        <f>ROUND(E48*0.04,2)</f>
        <v>38000.050000000003</v>
      </c>
      <c r="G48" s="9">
        <f t="shared" ref="G48" si="530">ROUND(E48*0,2)</f>
        <v>0</v>
      </c>
      <c r="H48" s="66">
        <f t="shared" ref="H48" si="531">E48-F48-G48</f>
        <v>912001.2500000007</v>
      </c>
      <c r="I48" s="9">
        <f t="shared" ref="I48" si="532">ROUND(H48*0,2)</f>
        <v>0</v>
      </c>
      <c r="J48" s="9">
        <f t="shared" ref="J48" si="533">ROUND((I48*0.58)+((I48*0.42)*0.1),2)</f>
        <v>0</v>
      </c>
      <c r="K48" s="9">
        <f t="shared" ref="K48" si="534">ROUND((I48*0.42)*0.9,2)</f>
        <v>0</v>
      </c>
      <c r="L48" s="66">
        <f t="shared" ref="L48" si="535">IF(J48+K48=I48,H48-I48,"ERROR")</f>
        <v>912001.2500000007</v>
      </c>
      <c r="M48" s="9">
        <f t="shared" ref="M48" si="536">ROUND(L48*0.465,2)</f>
        <v>424080.58</v>
      </c>
      <c r="N48" s="9">
        <f>ROUND(L48*0.3,2)-0.05</f>
        <v>273600.33</v>
      </c>
      <c r="O48" s="9">
        <f>ROUND(L48*0.1285,2)+0.02</f>
        <v>117192.18000000001</v>
      </c>
      <c r="P48" s="9">
        <f t="shared" ref="P48" si="537">ROUND((L48*0.07)*0.9,2)</f>
        <v>57456.08</v>
      </c>
      <c r="Q48" s="9">
        <f>ROUND(L48*0.01,2)+0.01</f>
        <v>9120.02</v>
      </c>
      <c r="R48" s="9">
        <f t="shared" ref="R48" si="538">ROUND((L48*0.0075)*0.9,2)</f>
        <v>6156.01</v>
      </c>
      <c r="S48" s="9">
        <f t="shared" ref="S48" si="539">ROUND((L48*0.0075)*0.9,2)</f>
        <v>6156.01</v>
      </c>
      <c r="T48" s="9">
        <f>ROUND(L48*0.01,2)+0.01</f>
        <v>9120.02</v>
      </c>
      <c r="U48" s="9">
        <f>ROUND(L48*0.01,2)+0.01</f>
        <v>9120.02</v>
      </c>
      <c r="V48" s="40">
        <f t="shared" ref="V48" si="540">E48/W48</f>
        <v>1397.0607352941188</v>
      </c>
      <c r="W48" s="10">
        <v>680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4.25" customHeight="1" x14ac:dyDescent="0.25">
      <c r="A49" s="8">
        <f>Mountaineer!A49</f>
        <v>44681</v>
      </c>
      <c r="B49" s="9">
        <v>12347870.489999998</v>
      </c>
      <c r="C49" s="9">
        <v>11177851.039999999</v>
      </c>
      <c r="D49" s="9">
        <v>132744</v>
      </c>
      <c r="E49" s="9">
        <f t="shared" ref="E49" si="541">B49-C49-D49</f>
        <v>1037275.4499999993</v>
      </c>
      <c r="F49" s="9">
        <f>ROUND(E49*0.04,2)+0.01</f>
        <v>41491.03</v>
      </c>
      <c r="G49" s="9">
        <f t="shared" ref="G49" si="542">ROUND(E49*0,2)</f>
        <v>0</v>
      </c>
      <c r="H49" s="66">
        <f t="shared" ref="H49" si="543">E49-F49-G49</f>
        <v>995784.41999999923</v>
      </c>
      <c r="I49" s="9">
        <f t="shared" ref="I49" si="544">ROUND(H49*0,2)</f>
        <v>0</v>
      </c>
      <c r="J49" s="9">
        <f t="shared" ref="J49" si="545">ROUND((I49*0.58)+((I49*0.42)*0.1),2)</f>
        <v>0</v>
      </c>
      <c r="K49" s="9">
        <f t="shared" ref="K49" si="546">ROUND((I49*0.42)*0.9,2)</f>
        <v>0</v>
      </c>
      <c r="L49" s="66">
        <f t="shared" ref="L49" si="547">IF(J49+K49=I49,H49-I49,"ERROR")</f>
        <v>995784.41999999923</v>
      </c>
      <c r="M49" s="9">
        <f t="shared" ref="M49" si="548">ROUND(L49*0.465,2)</f>
        <v>463039.76</v>
      </c>
      <c r="N49" s="9">
        <f>ROUND(L49*0.3,2)+0.01</f>
        <v>298735.34000000003</v>
      </c>
      <c r="O49" s="9">
        <f>ROUND(L49*0.1285,2)</f>
        <v>127958.3</v>
      </c>
      <c r="P49" s="9">
        <f t="shared" ref="P49" si="549">ROUND((L49*0.07)*0.9,2)</f>
        <v>62734.42</v>
      </c>
      <c r="Q49" s="9">
        <f>ROUND(L49*0.01,2)</f>
        <v>9957.84</v>
      </c>
      <c r="R49" s="9">
        <f t="shared" ref="R49" si="550">ROUND((L49*0.0075)*0.9,2)</f>
        <v>6721.54</v>
      </c>
      <c r="S49" s="9">
        <f t="shared" ref="S49" si="551">ROUND((L49*0.0075)*0.9,2)</f>
        <v>6721.54</v>
      </c>
      <c r="T49" s="9">
        <f>ROUND(L49*0.01,2)</f>
        <v>9957.84</v>
      </c>
      <c r="U49" s="9">
        <f>ROUND(L49*0.01,2)</f>
        <v>9957.84</v>
      </c>
      <c r="V49" s="40">
        <f t="shared" ref="V49" si="552">E49/W49</f>
        <v>1509.8623726346423</v>
      </c>
      <c r="W49" s="10">
        <v>687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4.25" customHeight="1" x14ac:dyDescent="0.25">
      <c r="A50" s="8">
        <f>Mountaineer!A50</f>
        <v>44688</v>
      </c>
      <c r="B50" s="9">
        <v>12320589.01</v>
      </c>
      <c r="C50" s="9">
        <v>11139923.25</v>
      </c>
      <c r="D50" s="9">
        <v>114522</v>
      </c>
      <c r="E50" s="9">
        <f t="shared" ref="E50" si="553">B50-C50-D50</f>
        <v>1066143.7599999998</v>
      </c>
      <c r="F50" s="9">
        <f>ROUND(E50*0.04,2)</f>
        <v>42645.75</v>
      </c>
      <c r="G50" s="9">
        <f t="shared" ref="G50" si="554">ROUND(E50*0,2)</f>
        <v>0</v>
      </c>
      <c r="H50" s="66">
        <f t="shared" ref="H50" si="555">E50-F50-G50</f>
        <v>1023498.0099999998</v>
      </c>
      <c r="I50" s="9">
        <f t="shared" ref="I50" si="556">ROUND(H50*0,2)</f>
        <v>0</v>
      </c>
      <c r="J50" s="9">
        <f t="shared" ref="J50" si="557">ROUND((I50*0.58)+((I50*0.42)*0.1),2)</f>
        <v>0</v>
      </c>
      <c r="K50" s="9">
        <f t="shared" ref="K50" si="558">ROUND((I50*0.42)*0.9,2)</f>
        <v>0</v>
      </c>
      <c r="L50" s="66">
        <f t="shared" ref="L50" si="559">IF(J50+K50=I50,H50-I50,"ERROR")</f>
        <v>1023498.0099999998</v>
      </c>
      <c r="M50" s="9">
        <f t="shared" ref="M50" si="560">ROUND(L50*0.465,2)</f>
        <v>475926.57</v>
      </c>
      <c r="N50" s="9">
        <f>ROUND(L50*0.3,2)-0.01</f>
        <v>307049.39</v>
      </c>
      <c r="O50" s="9">
        <f>ROUND(L50*0.1285,2)+0.03</f>
        <v>131519.51999999999</v>
      </c>
      <c r="P50" s="9">
        <f t="shared" ref="P50" si="561">ROUND((L50*0.07)*0.9,2)</f>
        <v>64480.37</v>
      </c>
      <c r="Q50" s="9">
        <f>ROUND(L50*0.01,2)</f>
        <v>10234.98</v>
      </c>
      <c r="R50" s="9">
        <f t="shared" ref="R50" si="562">ROUND((L50*0.0075)*0.9,2)</f>
        <v>6908.61</v>
      </c>
      <c r="S50" s="9">
        <f t="shared" ref="S50" si="563">ROUND((L50*0.0075)*0.9,2)</f>
        <v>6908.61</v>
      </c>
      <c r="T50" s="9">
        <f>ROUND(L50*0.01,2)</f>
        <v>10234.98</v>
      </c>
      <c r="U50" s="9">
        <f>ROUND(L50*0.01,2)</f>
        <v>10234.98</v>
      </c>
      <c r="V50" s="40">
        <f t="shared" ref="V50" si="564">E50/W50</f>
        <v>1622.7454490106541</v>
      </c>
      <c r="W50" s="10">
        <v>657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4.25" customHeight="1" x14ac:dyDescent="0.25">
      <c r="A51" s="8">
        <f>Mountaineer!A51</f>
        <v>44695</v>
      </c>
      <c r="B51" s="9">
        <v>12101170.190000001</v>
      </c>
      <c r="C51" s="9">
        <v>10953906.210000001</v>
      </c>
      <c r="D51" s="9">
        <v>113515</v>
      </c>
      <c r="E51" s="9">
        <f t="shared" ref="E51" si="565">B51-C51-D51</f>
        <v>1033748.9800000004</v>
      </c>
      <c r="F51" s="9">
        <f>ROUND(E51*0.04,2)</f>
        <v>41349.96</v>
      </c>
      <c r="G51" s="9">
        <f t="shared" ref="G51" si="566">ROUND(E51*0,2)</f>
        <v>0</v>
      </c>
      <c r="H51" s="66">
        <f t="shared" ref="H51" si="567">E51-F51-G51</f>
        <v>992399.02000000048</v>
      </c>
      <c r="I51" s="9">
        <f t="shared" ref="I51" si="568">ROUND(H51*0,2)</f>
        <v>0</v>
      </c>
      <c r="J51" s="9">
        <f t="shared" ref="J51" si="569">ROUND((I51*0.58)+((I51*0.42)*0.1),2)</f>
        <v>0</v>
      </c>
      <c r="K51" s="9">
        <f t="shared" ref="K51" si="570">ROUND((I51*0.42)*0.9,2)</f>
        <v>0</v>
      </c>
      <c r="L51" s="66">
        <f t="shared" ref="L51" si="571">IF(J51+K51=I51,H51-I51,"ERROR")</f>
        <v>992399.02000000048</v>
      </c>
      <c r="M51" s="9">
        <f t="shared" ref="M51" si="572">ROUND(L51*0.465,2)</f>
        <v>461465.54</v>
      </c>
      <c r="N51" s="9">
        <f>ROUND(L51*0.3,2)-0.05</f>
        <v>297719.66000000003</v>
      </c>
      <c r="O51" s="9">
        <f>ROUND(L51*0.1285,2)+0.03</f>
        <v>127523.3</v>
      </c>
      <c r="P51" s="9">
        <f t="shared" ref="P51" si="573">ROUND((L51*0.07)*0.9,2)</f>
        <v>62521.14</v>
      </c>
      <c r="Q51" s="9">
        <f>ROUND(L51*0.01,2)+0.01</f>
        <v>9924</v>
      </c>
      <c r="R51" s="9">
        <f t="shared" ref="R51" si="574">ROUND((L51*0.0075)*0.9,2)</f>
        <v>6698.69</v>
      </c>
      <c r="S51" s="9">
        <f t="shared" ref="S51" si="575">ROUND((L51*0.0075)*0.9,2)</f>
        <v>6698.69</v>
      </c>
      <c r="T51" s="9">
        <f>ROUND(L51*0.01,2)+0.01</f>
        <v>9924</v>
      </c>
      <c r="U51" s="9">
        <f>ROUND(L51*0.01,2)+0.01</f>
        <v>9924</v>
      </c>
      <c r="V51" s="40">
        <f t="shared" ref="V51" si="576">E51/W51</f>
        <v>1625.3914779874221</v>
      </c>
      <c r="W51" s="10">
        <v>636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4.25" customHeight="1" x14ac:dyDescent="0.25">
      <c r="A52" s="8">
        <f>Mountaineer!A52</f>
        <v>44702</v>
      </c>
      <c r="B52" s="9">
        <v>11089963.32</v>
      </c>
      <c r="C52" s="9">
        <v>9983059.1500000004</v>
      </c>
      <c r="D52" s="9">
        <v>108114</v>
      </c>
      <c r="E52" s="9">
        <f t="shared" ref="E52" si="577">B52-C52-D52</f>
        <v>998790.16999999993</v>
      </c>
      <c r="F52" s="9">
        <v>33588.28</v>
      </c>
      <c r="G52" s="9">
        <v>6363.33</v>
      </c>
      <c r="H52" s="66">
        <f t="shared" ref="H52" si="578">E52-F52-G52</f>
        <v>958838.55999999994</v>
      </c>
      <c r="I52" s="9">
        <f t="shared" ref="I52" si="579">ROUND(H52*0,2)</f>
        <v>0</v>
      </c>
      <c r="J52" s="9">
        <f t="shared" ref="J52" si="580">ROUND((I52*0.58)+((I52*0.42)*0.1),2)</f>
        <v>0</v>
      </c>
      <c r="K52" s="9">
        <f t="shared" ref="K52" si="581">ROUND((I52*0.42)*0.9,2)</f>
        <v>0</v>
      </c>
      <c r="L52" s="66">
        <f t="shared" ref="L52" si="582">IF(J52+K52=I52,H52-I52,"ERROR")</f>
        <v>958838.55999999994</v>
      </c>
      <c r="M52" s="9">
        <f t="shared" ref="M52" si="583">ROUND(L52*0.465,2)</f>
        <v>445859.93</v>
      </c>
      <c r="N52" s="9">
        <f>ROUND(L52*0.3,2)+0.03</f>
        <v>287651.60000000003</v>
      </c>
      <c r="O52" s="9">
        <f>ROUND(L52*0.1285,2)-0.01</f>
        <v>123210.74</v>
      </c>
      <c r="P52" s="9">
        <f t="shared" ref="P52" si="584">ROUND((L52*0.07)*0.9,2)</f>
        <v>60406.83</v>
      </c>
      <c r="Q52" s="9">
        <f>ROUND(L52*0.01,2)-0.01</f>
        <v>9588.3799999999992</v>
      </c>
      <c r="R52" s="9">
        <f t="shared" ref="R52" si="585">ROUND((L52*0.0075)*0.9,2)</f>
        <v>6472.16</v>
      </c>
      <c r="S52" s="9">
        <f t="shared" ref="S52" si="586">ROUND((L52*0.0075)*0.9,2)</f>
        <v>6472.16</v>
      </c>
      <c r="T52" s="9">
        <f>ROUND(L52*0.01,2)-0.01</f>
        <v>9588.3799999999992</v>
      </c>
      <c r="U52" s="9">
        <f>ROUND(L52*0.01,2)-0.01</f>
        <v>9588.3799999999992</v>
      </c>
      <c r="V52" s="40">
        <f t="shared" ref="V52" si="587">E52/W52</f>
        <v>1582.8687321711568</v>
      </c>
      <c r="W52" s="10">
        <v>631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4.25" customHeight="1" x14ac:dyDescent="0.25">
      <c r="A53" s="8">
        <f>Mountaineer!A53</f>
        <v>44709</v>
      </c>
      <c r="B53" s="9">
        <v>12461109.34</v>
      </c>
      <c r="C53" s="9">
        <v>11317326.75</v>
      </c>
      <c r="D53" s="9">
        <v>112924</v>
      </c>
      <c r="E53" s="9">
        <f t="shared" ref="E53" si="588">B53-C53-D53</f>
        <v>1030858.5899999999</v>
      </c>
      <c r="F53" s="9">
        <v>0</v>
      </c>
      <c r="G53" s="9">
        <f>ROUND(E53*0.04,2)-0.02</f>
        <v>41234.32</v>
      </c>
      <c r="H53" s="66">
        <f t="shared" ref="H53" si="589">E53-F53-G53</f>
        <v>989624.2699999999</v>
      </c>
      <c r="I53" s="9">
        <f t="shared" ref="I53" si="590">ROUND(H53*0,2)</f>
        <v>0</v>
      </c>
      <c r="J53" s="9">
        <f t="shared" ref="J53" si="591">ROUND((I53*0.58)+((I53*0.42)*0.1),2)</f>
        <v>0</v>
      </c>
      <c r="K53" s="9">
        <f t="shared" ref="K53" si="592">ROUND((I53*0.42)*0.9,2)</f>
        <v>0</v>
      </c>
      <c r="L53" s="66">
        <f t="shared" ref="L53" si="593">IF(J53+K53=I53,H53-I53,"ERROR")</f>
        <v>989624.2699999999</v>
      </c>
      <c r="M53" s="9">
        <f t="shared" ref="M53" si="594">ROUND(L53*0.465,2)</f>
        <v>460175.29</v>
      </c>
      <c r="N53" s="9">
        <f>ROUND(L53*0.3,2)+0.01</f>
        <v>296887.29000000004</v>
      </c>
      <c r="O53" s="9">
        <f>ROUND(L53*0.1285,2)</f>
        <v>127166.72</v>
      </c>
      <c r="P53" s="9">
        <f t="shared" ref="P53" si="595">ROUND((L53*0.07)*0.9,2)</f>
        <v>62346.33</v>
      </c>
      <c r="Q53" s="9">
        <f>ROUND(L53*0.01,2)</f>
        <v>9896.24</v>
      </c>
      <c r="R53" s="9">
        <f t="shared" ref="R53" si="596">ROUND((L53*0.0075)*0.9,2)</f>
        <v>6679.96</v>
      </c>
      <c r="S53" s="9">
        <f t="shared" ref="S53" si="597">ROUND((L53*0.0075)*0.9,2)</f>
        <v>6679.96</v>
      </c>
      <c r="T53" s="9">
        <f>ROUND(L53*0.01,2)</f>
        <v>9896.24</v>
      </c>
      <c r="U53" s="9">
        <f>ROUND(L53*0.01,2)</f>
        <v>9896.24</v>
      </c>
      <c r="V53" s="40">
        <f t="shared" ref="V53" si="598">E53/W53</f>
        <v>1600.7120962732918</v>
      </c>
      <c r="W53" s="10">
        <v>644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4.25" customHeight="1" x14ac:dyDescent="0.25">
      <c r="A54" s="8">
        <f>Mountaineer!A54</f>
        <v>44716</v>
      </c>
      <c r="B54" s="9">
        <v>12120322.409999998</v>
      </c>
      <c r="C54" s="9">
        <v>10959316.289999999</v>
      </c>
      <c r="D54" s="9">
        <v>114089</v>
      </c>
      <c r="E54" s="9">
        <f t="shared" ref="E54" si="599">B54-C54-D54</f>
        <v>1046917.1199999992</v>
      </c>
      <c r="F54" s="9">
        <v>0</v>
      </c>
      <c r="G54" s="9">
        <f>ROUND(E54*0.04,2)</f>
        <v>41876.68</v>
      </c>
      <c r="H54" s="66">
        <f t="shared" ref="H54" si="600">E54-F54-G54</f>
        <v>1005040.4399999991</v>
      </c>
      <c r="I54" s="9">
        <v>80287.61</v>
      </c>
      <c r="J54" s="9">
        <f>ROUND((I54*0.58)+((I54*0.42)*0.1),2)+0.01</f>
        <v>49938.9</v>
      </c>
      <c r="K54" s="9">
        <f>ROUND((I54*0.42)*0.9,2)-0.01</f>
        <v>30348.710000000003</v>
      </c>
      <c r="L54" s="66">
        <f t="shared" ref="L54:L55" si="601">IF(J54+K54=I54,H54-I54,"ERROR")</f>
        <v>924752.82999999914</v>
      </c>
      <c r="M54" s="9">
        <v>397493.58</v>
      </c>
      <c r="N54" s="9">
        <v>60649.279999999999</v>
      </c>
      <c r="O54" s="9">
        <v>391246.65</v>
      </c>
      <c r="P54" s="9">
        <v>38749.54</v>
      </c>
      <c r="Q54" s="9">
        <v>5634.58</v>
      </c>
      <c r="R54" s="9">
        <f t="shared" ref="R54:R55" si="602">ROUND((L54*0.0075)*0.9,2)</f>
        <v>6242.08</v>
      </c>
      <c r="S54" s="9">
        <f t="shared" ref="S54:S55" si="603">ROUND((L54*0.0075)*0.9,2)</f>
        <v>6242.08</v>
      </c>
      <c r="T54" s="9">
        <f>ROUND(L54*0.01,2)-0.01</f>
        <v>9247.52</v>
      </c>
      <c r="U54" s="9">
        <f>ROUND(L54*0.01,2)-0.01</f>
        <v>9247.52</v>
      </c>
      <c r="V54" s="40">
        <f t="shared" ref="V54" si="604">E54/W54</f>
        <v>1569.5908845577198</v>
      </c>
      <c r="W54" s="10">
        <v>667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4.25" customHeight="1" x14ac:dyDescent="0.25">
      <c r="A55" s="8">
        <f>Mountaineer!A55</f>
        <v>44723</v>
      </c>
      <c r="B55" s="9">
        <v>11101138.809999999</v>
      </c>
      <c r="C55" s="9">
        <v>9925239.2300000004</v>
      </c>
      <c r="D55" s="9">
        <v>105671</v>
      </c>
      <c r="E55" s="9">
        <f t="shared" ref="E55" si="605">B55-C55-D55</f>
        <v>1070228.5799999982</v>
      </c>
      <c r="F55" s="9">
        <v>0</v>
      </c>
      <c r="G55" s="9">
        <f>ROUND(E55*0.04,2)</f>
        <v>42809.14</v>
      </c>
      <c r="H55" s="66">
        <f t="shared" ref="H55" si="606">E55-F55-G55</f>
        <v>1027419.4399999982</v>
      </c>
      <c r="I55" s="9">
        <f>ROUND(H55*0.1,2)+0.01</f>
        <v>102741.95</v>
      </c>
      <c r="J55" s="9">
        <f>ROUND((I55*0.58)+((I55*0.42)*0.1),2)</f>
        <v>63905.49</v>
      </c>
      <c r="K55" s="9">
        <f t="shared" ref="K55" si="607">ROUND((I55*0.42)*0.9,2)</f>
        <v>38836.46</v>
      </c>
      <c r="L55" s="66">
        <f t="shared" si="601"/>
        <v>924677.48999999824</v>
      </c>
      <c r="M55" s="9">
        <f t="shared" ref="M55" si="608">ROUND(L55*0.42,2)</f>
        <v>388364.55</v>
      </c>
      <c r="N55" s="9">
        <f t="shared" ref="N55" si="609">ROUND(L55*0,2)</f>
        <v>0</v>
      </c>
      <c r="O55" s="9">
        <f>ROUND((L55*0.0955)+(L55*0.41),2)-0.01</f>
        <v>467424.45999999996</v>
      </c>
      <c r="P55" s="9">
        <f t="shared" ref="P55" si="610">ROUND((L55*0.04)*0.9,2)</f>
        <v>33288.39</v>
      </c>
      <c r="Q55" s="9">
        <f t="shared" ref="Q55" si="611">ROUND(L55*0.005,2)</f>
        <v>4623.3900000000003</v>
      </c>
      <c r="R55" s="9">
        <f t="shared" si="602"/>
        <v>6241.57</v>
      </c>
      <c r="S55" s="9">
        <f t="shared" si="603"/>
        <v>6241.57</v>
      </c>
      <c r="T55" s="9">
        <f>ROUND(L55*0.01,2)+0.01</f>
        <v>9246.7800000000007</v>
      </c>
      <c r="U55" s="9">
        <f>ROUND(L55*0.01,2)+0.01</f>
        <v>9246.7800000000007</v>
      </c>
      <c r="V55" s="40">
        <f t="shared" ref="V55" si="612">E55/W55</f>
        <v>1602.1385928143686</v>
      </c>
      <c r="W55" s="10">
        <v>668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4.25" customHeight="1" x14ac:dyDescent="0.25">
      <c r="A56" s="8">
        <f>Mountaineer!A56</f>
        <v>44730</v>
      </c>
      <c r="B56" s="9">
        <v>10929675.57</v>
      </c>
      <c r="C56" s="9">
        <v>9914738.2599999998</v>
      </c>
      <c r="D56" s="9">
        <v>104939</v>
      </c>
      <c r="E56" s="9">
        <f t="shared" ref="E56" si="613">B56-C56-D56</f>
        <v>909998.31000000052</v>
      </c>
      <c r="F56" s="9">
        <v>0</v>
      </c>
      <c r="G56" s="9">
        <f>ROUND(E56*0.04,2)+0.01</f>
        <v>36399.94</v>
      </c>
      <c r="H56" s="66">
        <f t="shared" ref="H56" si="614">E56-F56-G56</f>
        <v>873598.37000000058</v>
      </c>
      <c r="I56" s="9">
        <f>ROUND(H56*0.1,2)</f>
        <v>87359.84</v>
      </c>
      <c r="J56" s="9">
        <f>ROUND((I56*0.58)+((I56*0.42)*0.1),2)</f>
        <v>54337.82</v>
      </c>
      <c r="K56" s="9">
        <f t="shared" ref="K56" si="615">ROUND((I56*0.42)*0.9,2)</f>
        <v>33022.019999999997</v>
      </c>
      <c r="L56" s="66">
        <f t="shared" ref="L56" si="616">IF(J56+K56=I56,H56-I56,"ERROR")</f>
        <v>786238.53000000061</v>
      </c>
      <c r="M56" s="9">
        <f t="shared" ref="M56" si="617">ROUND(L56*0.42,2)</f>
        <v>330220.18</v>
      </c>
      <c r="N56" s="9">
        <f t="shared" ref="N56" si="618">ROUND(L56*0,2)</f>
        <v>0</v>
      </c>
      <c r="O56" s="9">
        <f>ROUND((L56*0.0955)+(L56*0.41),2)+0.01</f>
        <v>397443.59</v>
      </c>
      <c r="P56" s="9">
        <f t="shared" ref="P56" si="619">ROUND((L56*0.04)*0.9,2)</f>
        <v>28304.59</v>
      </c>
      <c r="Q56" s="9">
        <f t="shared" ref="Q56" si="620">ROUND(L56*0.005,2)</f>
        <v>3931.19</v>
      </c>
      <c r="R56" s="9">
        <f t="shared" ref="R56" si="621">ROUND((L56*0.0075)*0.9,2)</f>
        <v>5307.11</v>
      </c>
      <c r="S56" s="9">
        <f t="shared" ref="S56" si="622">ROUND((L56*0.0075)*0.9,2)</f>
        <v>5307.11</v>
      </c>
      <c r="T56" s="9">
        <f>ROUND(L56*0.01,2)-0.01</f>
        <v>7862.38</v>
      </c>
      <c r="U56" s="9">
        <f>ROUND(L56*0.01,2)-0.01</f>
        <v>7862.38</v>
      </c>
      <c r="V56" s="40">
        <f t="shared" ref="V56" si="623">E56/W56</f>
        <v>1366.3638288288296</v>
      </c>
      <c r="W56" s="10">
        <v>666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4.25" customHeight="1" x14ac:dyDescent="0.25">
      <c r="A57" s="8">
        <f>Mountaineer!A57</f>
        <v>44737</v>
      </c>
      <c r="B57" s="9">
        <v>10930223.08</v>
      </c>
      <c r="C57" s="9">
        <v>9851573.7800000012</v>
      </c>
      <c r="D57" s="9">
        <v>113981</v>
      </c>
      <c r="E57" s="9">
        <f t="shared" ref="E57" si="624">B57-C57-D57</f>
        <v>964668.29999999888</v>
      </c>
      <c r="F57" s="9">
        <v>0</v>
      </c>
      <c r="G57" s="9">
        <f>ROUND(E57*0.04,2)+0.02</f>
        <v>38586.75</v>
      </c>
      <c r="H57" s="66">
        <f t="shared" ref="H57" si="625">E57-F57-G57</f>
        <v>926081.54999999888</v>
      </c>
      <c r="I57" s="9">
        <f>ROUND(H57*0.1,2)+0.01</f>
        <v>92608.159999999989</v>
      </c>
      <c r="J57" s="9">
        <f>ROUND((I57*0.58)+((I57*0.42)*0.1),2)</f>
        <v>57602.28</v>
      </c>
      <c r="K57" s="9">
        <f t="shared" ref="K57" si="626">ROUND((I57*0.42)*0.9,2)</f>
        <v>35005.879999999997</v>
      </c>
      <c r="L57" s="66">
        <f t="shared" ref="L57" si="627">IF(J57+K57=I57,H57-I57,"ERROR")</f>
        <v>833473.38999999885</v>
      </c>
      <c r="M57" s="9">
        <f t="shared" ref="M57" si="628">ROUND(L57*0.42,2)</f>
        <v>350058.82</v>
      </c>
      <c r="N57" s="9">
        <f t="shared" ref="N57" si="629">ROUND(L57*0,2)</f>
        <v>0</v>
      </c>
      <c r="O57" s="9">
        <f>ROUND((L57*0.0955)+(L57*0.41),2)-0.02</f>
        <v>421320.77999999997</v>
      </c>
      <c r="P57" s="9">
        <f t="shared" ref="P57" si="630">ROUND((L57*0.04)*0.9,2)</f>
        <v>30005.040000000001</v>
      </c>
      <c r="Q57" s="9">
        <f t="shared" ref="Q57" si="631">ROUND(L57*0.005,2)</f>
        <v>4167.37</v>
      </c>
      <c r="R57" s="9">
        <f t="shared" ref="R57" si="632">ROUND((L57*0.0075)*0.9,2)</f>
        <v>5625.95</v>
      </c>
      <c r="S57" s="9">
        <f t="shared" ref="S57" si="633">ROUND((L57*0.0075)*0.9,2)</f>
        <v>5625.95</v>
      </c>
      <c r="T57" s="9">
        <f>ROUND(L57*0.01,2)+0.01</f>
        <v>8334.74</v>
      </c>
      <c r="U57" s="9">
        <f>ROUND(L57*0.01,2)+0.01</f>
        <v>8334.74</v>
      </c>
      <c r="V57" s="40">
        <f t="shared" ref="V57" si="634">E57/W57</f>
        <v>1439.8034328358192</v>
      </c>
      <c r="W57" s="10">
        <v>670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4.25" customHeight="1" x14ac:dyDescent="0.25">
      <c r="A58" s="8" t="str">
        <f>Mountaineer!A58</f>
        <v>6/30/2022 ***</v>
      </c>
      <c r="B58" s="9">
        <v>6845574.4300000006</v>
      </c>
      <c r="C58" s="9">
        <v>6188613.6399999997</v>
      </c>
      <c r="D58" s="9">
        <v>68341</v>
      </c>
      <c r="E58" s="9">
        <f t="shared" ref="E58" si="635">B58-C58-D58</f>
        <v>588619.79000000097</v>
      </c>
      <c r="F58" s="9">
        <v>0</v>
      </c>
      <c r="G58" s="9">
        <f>ROUND(E58*0.04,2)</f>
        <v>23544.79</v>
      </c>
      <c r="H58" s="66">
        <f t="shared" ref="H58" si="636">E58-F58-G58</f>
        <v>565075.00000000093</v>
      </c>
      <c r="I58" s="9">
        <f>ROUND(H58*0.1,2)+0.01</f>
        <v>56507.51</v>
      </c>
      <c r="J58" s="9">
        <f>ROUND((I58*0.58)+((I58*0.42)*0.1),2)</f>
        <v>35147.67</v>
      </c>
      <c r="K58" s="9">
        <f t="shared" ref="K58" si="637">ROUND((I58*0.42)*0.9,2)</f>
        <v>21359.84</v>
      </c>
      <c r="L58" s="66">
        <f t="shared" ref="L58" si="638">IF(J58+K58=I58,H58-I58,"ERROR")</f>
        <v>508567.49000000092</v>
      </c>
      <c r="M58" s="9">
        <f t="shared" ref="M58" si="639">ROUND(L58*0.42,2)</f>
        <v>213598.35</v>
      </c>
      <c r="N58" s="9">
        <f t="shared" ref="N58" si="640">ROUND(L58*0,2)</f>
        <v>0</v>
      </c>
      <c r="O58" s="9">
        <f>ROUND((L58*0.0955)+(L58*0.41),2)-0.02</f>
        <v>257080.85</v>
      </c>
      <c r="P58" s="9">
        <f t="shared" ref="P58" si="641">ROUND((L58*0.04)*0.9,2)</f>
        <v>18308.43</v>
      </c>
      <c r="Q58" s="9">
        <f t="shared" ref="Q58" si="642">ROUND(L58*0.005,2)</f>
        <v>2542.84</v>
      </c>
      <c r="R58" s="9">
        <f t="shared" ref="R58" si="643">ROUND((L58*0.0075)*0.9,2)</f>
        <v>3432.83</v>
      </c>
      <c r="S58" s="9">
        <f t="shared" ref="S58" si="644">ROUND((L58*0.0075)*0.9,2)</f>
        <v>3432.83</v>
      </c>
      <c r="T58" s="9">
        <f>ROUND(L58*0.01,2)+0.01</f>
        <v>5085.68</v>
      </c>
      <c r="U58" s="9">
        <f>ROUND(L58*0.01,2)+0.01</f>
        <v>5085.68</v>
      </c>
      <c r="V58" s="40">
        <f t="shared" ref="V58" si="645">E58/W58</f>
        <v>866.89217967599552</v>
      </c>
      <c r="W58" s="10">
        <v>679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B59" s="11"/>
      <c r="E59" s="11"/>
      <c r="F59" s="11"/>
      <c r="G59" s="11"/>
      <c r="H59" s="11"/>
      <c r="I59" s="11"/>
      <c r="J59" s="11"/>
      <c r="K59" s="11"/>
      <c r="L59" s="11"/>
      <c r="M59" s="11"/>
      <c r="P59" s="11"/>
      <c r="R59" s="11"/>
      <c r="S59" s="11"/>
      <c r="V59" s="12"/>
    </row>
    <row r="60" spans="1:96" ht="15" customHeight="1" thickBot="1" x14ac:dyDescent="0.3">
      <c r="B60" s="14">
        <f t="shared" ref="B60:U60" si="646">SUM(B6:B59)</f>
        <v>586779294.84999979</v>
      </c>
      <c r="C60" s="14">
        <f t="shared" si="646"/>
        <v>530820965.00100005</v>
      </c>
      <c r="D60" s="14">
        <f t="shared" si="646"/>
        <v>5405046</v>
      </c>
      <c r="E60" s="14">
        <f t="shared" si="646"/>
        <v>50553283.849000007</v>
      </c>
      <c r="F60" s="14">
        <f t="shared" si="646"/>
        <v>1791316.35</v>
      </c>
      <c r="G60" s="14">
        <f t="shared" si="646"/>
        <v>230814.95</v>
      </c>
      <c r="H60" s="14">
        <f t="shared" si="646"/>
        <v>48531152.548999995</v>
      </c>
      <c r="I60" s="14">
        <f t="shared" si="646"/>
        <v>419505.07</v>
      </c>
      <c r="J60" s="14">
        <f t="shared" si="646"/>
        <v>260932.15999999997</v>
      </c>
      <c r="K60" s="14">
        <f t="shared" si="646"/>
        <v>158572.91</v>
      </c>
      <c r="L60" s="14">
        <f t="shared" si="646"/>
        <v>48111647.479000002</v>
      </c>
      <c r="M60" s="14">
        <f t="shared" si="646"/>
        <v>22202016.529999997</v>
      </c>
      <c r="N60" s="14">
        <f t="shared" si="646"/>
        <v>13300830.279999999</v>
      </c>
      <c r="O60" s="14">
        <f t="shared" si="646"/>
        <v>7605727.4999999991</v>
      </c>
      <c r="P60" s="14">
        <f t="shared" si="646"/>
        <v>2929094.0800000005</v>
      </c>
      <c r="Q60" s="14">
        <f t="shared" si="646"/>
        <v>462238.81000000006</v>
      </c>
      <c r="R60" s="14">
        <f t="shared" si="646"/>
        <v>324753.59999999992</v>
      </c>
      <c r="S60" s="14">
        <f t="shared" si="646"/>
        <v>324753.59999999992</v>
      </c>
      <c r="T60" s="14">
        <f t="shared" si="646"/>
        <v>711308.04999999993</v>
      </c>
      <c r="U60" s="14">
        <f t="shared" si="646"/>
        <v>250925.03</v>
      </c>
      <c r="V60" s="14">
        <f>AVERAGE(V6:V59)</f>
        <v>1421.9446714485678</v>
      </c>
      <c r="W60" s="16">
        <f>AVERAGE(W6:W59)</f>
        <v>670.52830188679241</v>
      </c>
    </row>
    <row r="61" spans="1:96" ht="15" customHeight="1" thickTop="1" x14ac:dyDescent="0.25"/>
    <row r="62" spans="1:96" ht="15" customHeight="1" x14ac:dyDescent="0.25">
      <c r="A62" s="1" t="s">
        <v>49</v>
      </c>
    </row>
    <row r="63" spans="1:96" ht="15" customHeight="1" x14ac:dyDescent="0.25">
      <c r="A63" s="1" t="s">
        <v>16</v>
      </c>
    </row>
    <row r="64" spans="1:96" ht="15" customHeight="1" x14ac:dyDescent="0.25">
      <c r="A64" s="1" t="s">
        <v>55</v>
      </c>
    </row>
  </sheetData>
  <mergeCells count="1">
    <mergeCell ref="A4:W4"/>
  </mergeCells>
  <pageMargins left="0.25" right="0.25" top="0.5" bottom="0.25" header="0" footer="0"/>
  <pageSetup paperSize="5" scale="53" orientation="landscape" r:id="rId1"/>
  <headerFooter>
    <oddHeader>&amp;CMARDI GRAS CASINO VIDEO LOTTERY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zoomScaleNormal="100" workbookViewId="0">
      <pane ySplit="3" topLeftCell="A28" activePane="bottomLeft" state="frozen"/>
      <selection pane="bottomLeft" activeCell="A60" sqref="A60"/>
    </sheetView>
  </sheetViews>
  <sheetFormatPr defaultRowHeight="15" customHeight="1" x14ac:dyDescent="0.25"/>
  <cols>
    <col min="1" max="1" width="13.7109375" style="2" customWidth="1"/>
    <col min="2" max="3" width="18.85546875" style="2" bestFit="1" customWidth="1"/>
    <col min="4" max="4" width="16.140625" style="2" bestFit="1" customWidth="1"/>
    <col min="5" max="5" width="17.28515625" style="2" bestFit="1" customWidth="1"/>
    <col min="6" max="6" width="14.5703125" style="2" customWidth="1"/>
    <col min="7" max="7" width="15" style="2" customWidth="1"/>
    <col min="8" max="8" width="17.7109375" style="2" customWidth="1"/>
    <col min="9" max="9" width="15.140625" style="2" hidden="1" customWidth="1"/>
    <col min="10" max="10" width="15.140625" style="2" customWidth="1"/>
    <col min="11" max="11" width="15.28515625" style="2" customWidth="1"/>
    <col min="12" max="12" width="17.140625" style="2" customWidth="1"/>
    <col min="13" max="13" width="16.140625" style="2" bestFit="1" customWidth="1"/>
    <col min="14" max="14" width="15.7109375" style="2" customWidth="1"/>
    <col min="15" max="16" width="16" style="2" customWidth="1"/>
    <col min="17" max="18" width="15.42578125" style="2" customWidth="1"/>
    <col min="19" max="19" width="15" style="2" customWidth="1"/>
    <col min="20" max="20" width="14.7109375" style="2" customWidth="1"/>
    <col min="21" max="21" width="13.85546875" style="2" customWidth="1"/>
    <col min="22" max="23" width="13.7109375" style="2" customWidth="1"/>
    <col min="24" max="16384" width="9.140625" style="2"/>
  </cols>
  <sheetData>
    <row r="1" spans="1:96" s="3" customFormat="1" ht="45" x14ac:dyDescent="0.25">
      <c r="A1" s="3" t="s">
        <v>14</v>
      </c>
      <c r="B1" s="3" t="s">
        <v>18</v>
      </c>
      <c r="C1" s="3" t="s">
        <v>19</v>
      </c>
      <c r="D1" s="3" t="s">
        <v>21</v>
      </c>
      <c r="E1" s="3" t="s">
        <v>22</v>
      </c>
      <c r="F1" s="3" t="s">
        <v>20</v>
      </c>
      <c r="G1" s="3" t="s">
        <v>23</v>
      </c>
      <c r="H1" s="3" t="s">
        <v>24</v>
      </c>
      <c r="I1" s="3" t="s">
        <v>15</v>
      </c>
      <c r="J1" s="3" t="s">
        <v>25</v>
      </c>
      <c r="K1" s="3" t="s">
        <v>26</v>
      </c>
      <c r="L1" s="3" t="s">
        <v>27</v>
      </c>
      <c r="M1" s="3" t="s">
        <v>12</v>
      </c>
      <c r="N1" s="3" t="s">
        <v>28</v>
      </c>
      <c r="O1" s="3" t="s">
        <v>23</v>
      </c>
      <c r="P1" s="3" t="s">
        <v>29</v>
      </c>
      <c r="Q1" s="3" t="s">
        <v>30</v>
      </c>
      <c r="R1" s="3" t="s">
        <v>31</v>
      </c>
      <c r="S1" s="3" t="s">
        <v>32</v>
      </c>
      <c r="T1" s="3" t="s">
        <v>42</v>
      </c>
      <c r="U1" s="3" t="s">
        <v>41</v>
      </c>
      <c r="V1" s="3" t="s">
        <v>33</v>
      </c>
      <c r="W1" s="3" t="s">
        <v>36</v>
      </c>
    </row>
    <row r="2" spans="1:96" s="65" customFormat="1" ht="15" customHeight="1" x14ac:dyDescent="0.25">
      <c r="A2" s="65" t="s">
        <v>46</v>
      </c>
      <c r="B2" s="5">
        <v>2430597502.3599997</v>
      </c>
      <c r="C2" s="5">
        <v>2185294472.5999999</v>
      </c>
      <c r="D2" s="5">
        <v>33422106.800000001</v>
      </c>
      <c r="E2" s="5">
        <v>211880922.95999995</v>
      </c>
      <c r="F2" s="5">
        <v>5340672.8699999992</v>
      </c>
      <c r="G2" s="5">
        <v>3134564.0599999996</v>
      </c>
      <c r="H2" s="5">
        <v>203405686.02999997</v>
      </c>
      <c r="I2" s="5">
        <v>7121859.5100000007</v>
      </c>
      <c r="J2" s="5">
        <v>4429796.5999999996</v>
      </c>
      <c r="K2" s="5">
        <v>2692062.9099999997</v>
      </c>
      <c r="L2" s="5">
        <v>196283826.52000001</v>
      </c>
      <c r="M2" s="5">
        <v>88387626.209999993</v>
      </c>
      <c r="N2" s="5">
        <v>39656127.370000005</v>
      </c>
      <c r="O2" s="5">
        <v>49386941.019999996</v>
      </c>
      <c r="P2" s="5">
        <v>10635269.220000004</v>
      </c>
      <c r="Q2" s="5">
        <v>1642354.5799999994</v>
      </c>
      <c r="R2" s="5">
        <v>1324915.8099999998</v>
      </c>
      <c r="S2" s="5">
        <v>1324915.8099999998</v>
      </c>
      <c r="T2" s="5">
        <v>2418870.0109999999</v>
      </c>
      <c r="U2" s="9">
        <v>1506806.4910000002</v>
      </c>
      <c r="V2" s="9">
        <v>3089.37</v>
      </c>
      <c r="W2" s="10">
        <v>1296</v>
      </c>
    </row>
    <row r="3" spans="1:96" s="4" customFormat="1" ht="15" customHeight="1" x14ac:dyDescent="0.25"/>
    <row r="4" spans="1:96" s="4" customFormat="1" ht="15" customHeight="1" x14ac:dyDescent="0.25">
      <c r="A4" s="72" t="s">
        <v>47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</row>
    <row r="5" spans="1:96" s="42" customFormat="1" ht="15" customHeight="1" x14ac:dyDescent="0.25"/>
    <row r="6" spans="1:96" ht="15" customHeight="1" x14ac:dyDescent="0.25">
      <c r="A6" s="8" t="str">
        <f>Mountaineer!A6</f>
        <v>7/3/2021 *</v>
      </c>
      <c r="B6" s="9">
        <v>34582617.719999999</v>
      </c>
      <c r="C6" s="9">
        <v>31128766.670000002</v>
      </c>
      <c r="D6" s="9">
        <v>631567</v>
      </c>
      <c r="E6" s="9">
        <f t="shared" ref="E6" si="0">B6-C6-D6</f>
        <v>2822284.049999997</v>
      </c>
      <c r="F6" s="9">
        <f>ROUND(E6*0.04,2)</f>
        <v>112891.36</v>
      </c>
      <c r="G6" s="9">
        <f t="shared" ref="G6" si="1">ROUND(E6*0,2)</f>
        <v>0</v>
      </c>
      <c r="H6" s="9">
        <f t="shared" ref="H6" si="2">E6-F6-G6</f>
        <v>2709392.6899999972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9">
        <f t="shared" ref="L6" si="6">IF(J6+K6=I6,H6-I6,"ERROR")</f>
        <v>2709392.6899999972</v>
      </c>
      <c r="M6" s="9">
        <f t="shared" ref="M6" si="7">ROUND(L6*0.465,2)</f>
        <v>1259867.6000000001</v>
      </c>
      <c r="N6" s="9">
        <f>ROUND(L6*0.3,2)+0.03</f>
        <v>812817.84000000008</v>
      </c>
      <c r="O6" s="9">
        <f>ROUND(L6*0.1285,2)-0.01</f>
        <v>348156.95</v>
      </c>
      <c r="P6" s="9">
        <f t="shared" ref="P6" si="8">ROUND((L6*0.07)*0.9,2)</f>
        <v>170691.74</v>
      </c>
      <c r="Q6" s="9">
        <f>ROUND(L6*0.01,2)-0.01</f>
        <v>27093.920000000002</v>
      </c>
      <c r="R6" s="9">
        <f t="shared" ref="R6" si="9">ROUND((L6*0.0075)*0.9,2)</f>
        <v>18288.400000000001</v>
      </c>
      <c r="S6" s="9">
        <f t="shared" ref="S6" si="10">ROUND((L6*0.0075)*0.9,2)</f>
        <v>18288.400000000001</v>
      </c>
      <c r="T6" s="9">
        <f>ROUND(L6*0.02,2)-0.01</f>
        <v>54187.839999999997</v>
      </c>
      <c r="U6" s="9">
        <f t="shared" ref="U6" si="11">ROUND(L6*0,2)</f>
        <v>0</v>
      </c>
      <c r="V6" s="40">
        <f t="shared" ref="V6" si="12">E6/W6</f>
        <v>1747.5443034055709</v>
      </c>
      <c r="W6" s="10">
        <v>1615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f>Mountaineer!A7</f>
        <v>44387</v>
      </c>
      <c r="B7" s="9">
        <v>65603861.359999999</v>
      </c>
      <c r="C7" s="9">
        <v>58753009.429999895</v>
      </c>
      <c r="D7" s="9">
        <v>1171829</v>
      </c>
      <c r="E7" s="9">
        <f t="shared" ref="E7" si="13">B7-C7-D7</f>
        <v>5679022.930000104</v>
      </c>
      <c r="F7" s="9">
        <f>ROUND(E7*0.04,2)-0.01</f>
        <v>227160.91</v>
      </c>
      <c r="G7" s="9">
        <f t="shared" ref="G7" si="14">ROUND(E7*0,2)</f>
        <v>0</v>
      </c>
      <c r="H7" s="9">
        <f t="shared" ref="H7" si="15">E7-F7-G7</f>
        <v>5451862.0200001039</v>
      </c>
      <c r="I7" s="9">
        <f t="shared" ref="I7" si="16">ROUND(H7*0,2)</f>
        <v>0</v>
      </c>
      <c r="J7" s="9">
        <f t="shared" ref="J7" si="17">ROUND((I7*0.58)+((I7*0.42)*0.1),2)</f>
        <v>0</v>
      </c>
      <c r="K7" s="9">
        <f t="shared" ref="K7" si="18">ROUND((I7*0.42)*0.9,2)</f>
        <v>0</v>
      </c>
      <c r="L7" s="9">
        <f t="shared" ref="L7" si="19">IF(J7+K7=I7,H7-I7,"ERROR")</f>
        <v>5451862.0200001039</v>
      </c>
      <c r="M7" s="9">
        <f t="shared" ref="M7" si="20">ROUND(L7*0.465,2)</f>
        <v>2535115.84</v>
      </c>
      <c r="N7" s="9">
        <f>ROUND(L7*0.3,2)</f>
        <v>1635558.61</v>
      </c>
      <c r="O7" s="9">
        <f>ROUND(L7*0.1285,2)-0.01</f>
        <v>700564.26</v>
      </c>
      <c r="P7" s="9">
        <f t="shared" ref="P7" si="21">ROUND((L7*0.07)*0.9,2)</f>
        <v>343467.31</v>
      </c>
      <c r="Q7" s="9">
        <f>ROUND(L7*0.01,2)</f>
        <v>54518.62</v>
      </c>
      <c r="R7" s="9">
        <f t="shared" ref="R7" si="22">ROUND((L7*0.0075)*0.9,2)</f>
        <v>36800.07</v>
      </c>
      <c r="S7" s="9">
        <f t="shared" ref="S7" si="23">ROUND((L7*0.0075)*0.9,2)</f>
        <v>36800.07</v>
      </c>
      <c r="T7" s="9">
        <f>ROUND(L7*0.02,2)</f>
        <v>109037.24</v>
      </c>
      <c r="U7" s="9">
        <f t="shared" ref="U7" si="24">ROUND(L7*0,2)</f>
        <v>0</v>
      </c>
      <c r="V7" s="40">
        <f t="shared" ref="V7" si="25">E7/W7</f>
        <v>3533.9283945240222</v>
      </c>
      <c r="W7" s="10">
        <v>1607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44394</v>
      </c>
      <c r="B8" s="9">
        <v>57117938.560000002</v>
      </c>
      <c r="C8" s="9">
        <v>51033911.189999998</v>
      </c>
      <c r="D8" s="9">
        <v>1012162</v>
      </c>
      <c r="E8" s="9">
        <f t="shared" ref="E8" si="26">B8-C8-D8</f>
        <v>5071865.3700000048</v>
      </c>
      <c r="F8" s="9">
        <f>ROUND(E8*0.04,2)</f>
        <v>202874.61</v>
      </c>
      <c r="G8" s="9">
        <f t="shared" ref="G8" si="27">ROUND(E8*0,2)</f>
        <v>0</v>
      </c>
      <c r="H8" s="9">
        <f t="shared" ref="H8" si="28">E8-F8-G8</f>
        <v>4868990.7600000044</v>
      </c>
      <c r="I8" s="9">
        <f t="shared" ref="I8" si="29">ROUND(H8*0,2)</f>
        <v>0</v>
      </c>
      <c r="J8" s="9">
        <f t="shared" ref="J8" si="30">ROUND((I8*0.58)+((I8*0.42)*0.1),2)</f>
        <v>0</v>
      </c>
      <c r="K8" s="9">
        <f t="shared" ref="K8" si="31">ROUND((I8*0.42)*0.9,2)</f>
        <v>0</v>
      </c>
      <c r="L8" s="9">
        <f t="shared" ref="L8" si="32">IF(J8+K8=I8,H8-I8,"ERROR")</f>
        <v>4868990.7600000044</v>
      </c>
      <c r="M8" s="9">
        <f t="shared" ref="M8" si="33">ROUND(L8*0.465,2)</f>
        <v>2264080.7000000002</v>
      </c>
      <c r="N8" s="9">
        <f>ROUND(L8*0.3,2)+0.05</f>
        <v>1460697.28</v>
      </c>
      <c r="O8" s="9">
        <f>ROUND(L8*0.1285,2)-0.03</f>
        <v>625665.28000000003</v>
      </c>
      <c r="P8" s="9">
        <f t="shared" ref="P8" si="34">ROUND((L8*0.07)*0.9,2)</f>
        <v>306746.42</v>
      </c>
      <c r="Q8" s="9">
        <f>ROUND(L8*0.01,2)-0.01</f>
        <v>48689.9</v>
      </c>
      <c r="R8" s="9">
        <f t="shared" ref="R8" si="35">ROUND((L8*0.0075)*0.9,2)</f>
        <v>32865.69</v>
      </c>
      <c r="S8" s="9">
        <f t="shared" ref="S8" si="36">ROUND((L8*0.0075)*0.9,2)</f>
        <v>32865.69</v>
      </c>
      <c r="T8" s="9">
        <f>ROUND(L8*0.02,2)-0.02</f>
        <v>97379.8</v>
      </c>
      <c r="U8" s="9">
        <f t="shared" ref="U8" si="37">ROUND(L8*0,2)</f>
        <v>0</v>
      </c>
      <c r="V8" s="40">
        <f t="shared" ref="V8" si="38">E8/W8</f>
        <v>3205.9831668773736</v>
      </c>
      <c r="W8" s="10">
        <v>1582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44401</v>
      </c>
      <c r="B9" s="9">
        <v>58160560.950000003</v>
      </c>
      <c r="C9" s="9">
        <v>52487967.510000005</v>
      </c>
      <c r="D9" s="9">
        <v>1047738</v>
      </c>
      <c r="E9" s="9">
        <f t="shared" ref="E9" si="39">B9-C9-D9</f>
        <v>4624855.4399999976</v>
      </c>
      <c r="F9" s="9">
        <f>ROUND(E9*0.04,2)-0.01</f>
        <v>184994.21</v>
      </c>
      <c r="G9" s="9">
        <f t="shared" ref="G9" si="40">ROUND(E9*0,2)</f>
        <v>0</v>
      </c>
      <c r="H9" s="9">
        <f t="shared" ref="H9" si="41">E9-F9-G9</f>
        <v>4439861.2299999977</v>
      </c>
      <c r="I9" s="9">
        <f t="shared" ref="I9" si="42">ROUND(H9*0,2)</f>
        <v>0</v>
      </c>
      <c r="J9" s="9">
        <f t="shared" ref="J9" si="43">ROUND((I9*0.58)+((I9*0.42)*0.1),2)</f>
        <v>0</v>
      </c>
      <c r="K9" s="9">
        <f t="shared" ref="K9" si="44">ROUND((I9*0.42)*0.9,2)</f>
        <v>0</v>
      </c>
      <c r="L9" s="9">
        <f t="shared" ref="L9" si="45">IF(J9+K9=I9,H9-I9,"ERROR")</f>
        <v>4439861.2299999977</v>
      </c>
      <c r="M9" s="9">
        <f t="shared" ref="M9" si="46">ROUND(L9*0.465,2)</f>
        <v>2064535.47</v>
      </c>
      <c r="N9" s="9">
        <f>ROUND(L9*0.3,2)-0.05</f>
        <v>1331958.32</v>
      </c>
      <c r="O9" s="9">
        <f>ROUND(L9*0.1285,2)+0.03</f>
        <v>570522.20000000007</v>
      </c>
      <c r="P9" s="9">
        <f t="shared" ref="P9" si="47">ROUND((L9*0.07)*0.9,2)</f>
        <v>279711.26</v>
      </c>
      <c r="Q9" s="9">
        <f>ROUND(L9*0.01,2)+0.01</f>
        <v>44398.62</v>
      </c>
      <c r="R9" s="9">
        <f t="shared" ref="R9" si="48">ROUND((L9*0.0075)*0.9,2)</f>
        <v>29969.06</v>
      </c>
      <c r="S9" s="9">
        <f t="shared" ref="S9" si="49">ROUND((L9*0.0075)*0.9,2)</f>
        <v>29969.06</v>
      </c>
      <c r="T9" s="9">
        <f>ROUND(L9*0.02,2)+0.02</f>
        <v>88797.24</v>
      </c>
      <c r="U9" s="9">
        <f t="shared" ref="U9" si="50">ROUND(L9*0,2)</f>
        <v>0</v>
      </c>
      <c r="V9" s="40">
        <f t="shared" ref="V9" si="51">E9/W9</f>
        <v>2917.8898675078849</v>
      </c>
      <c r="W9" s="10">
        <v>1585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44408</v>
      </c>
      <c r="B10" s="9">
        <v>60175321.669999994</v>
      </c>
      <c r="C10" s="9">
        <v>54032652.129999995</v>
      </c>
      <c r="D10" s="9">
        <v>1031388</v>
      </c>
      <c r="E10" s="9">
        <f t="shared" ref="E10" si="52">B10-C10-D10</f>
        <v>5111281.5399999991</v>
      </c>
      <c r="F10" s="9">
        <f>ROUND(E10*0.04,2)+0.01</f>
        <v>204451.27000000002</v>
      </c>
      <c r="G10" s="9">
        <f t="shared" ref="G10" si="53">ROUND(E10*0,2)</f>
        <v>0</v>
      </c>
      <c r="H10" s="9">
        <f t="shared" ref="H10" si="54">E10-F10-G10</f>
        <v>4906830.2699999996</v>
      </c>
      <c r="I10" s="9">
        <f t="shared" ref="I10" si="55">ROUND(H10*0,2)</f>
        <v>0</v>
      </c>
      <c r="J10" s="9">
        <f t="shared" ref="J10" si="56">ROUND((I10*0.58)+((I10*0.42)*0.1),2)</f>
        <v>0</v>
      </c>
      <c r="K10" s="9">
        <f t="shared" ref="K10" si="57">ROUND((I10*0.42)*0.9,2)</f>
        <v>0</v>
      </c>
      <c r="L10" s="9">
        <f t="shared" ref="L10" si="58">IF(J10+K10=I10,H10-I10,"ERROR")</f>
        <v>4906830.2699999996</v>
      </c>
      <c r="M10" s="9">
        <f t="shared" ref="M10" si="59">ROUND(L10*0.465,2)</f>
        <v>2281676.08</v>
      </c>
      <c r="N10" s="9">
        <f>ROUND(L10*0.3,2)</f>
        <v>1472049.08</v>
      </c>
      <c r="O10" s="9">
        <f>ROUND(L10*0.1285,2)+0.01</f>
        <v>630527.69999999995</v>
      </c>
      <c r="P10" s="9">
        <f t="shared" ref="P10" si="60">ROUND((L10*0.07)*0.9,2)</f>
        <v>309130.31</v>
      </c>
      <c r="Q10" s="9">
        <f>ROUND(L10*0.01,2)</f>
        <v>49068.3</v>
      </c>
      <c r="R10" s="9">
        <f t="shared" ref="R10" si="61">ROUND((L10*0.0075)*0.9,2)</f>
        <v>33121.1</v>
      </c>
      <c r="S10" s="9">
        <f t="shared" ref="S10" si="62">ROUND((L10*0.0075)*0.9,2)</f>
        <v>33121.1</v>
      </c>
      <c r="T10" s="9">
        <f>ROUND(L10*0.02,2)-0.01</f>
        <v>98136.6</v>
      </c>
      <c r="U10" s="9">
        <f t="shared" ref="U10" si="63">ROUND(L10*0,2)</f>
        <v>0</v>
      </c>
      <c r="V10" s="40">
        <f t="shared" ref="V10" si="64">E10/W10</f>
        <v>3164.8802105263153</v>
      </c>
      <c r="W10" s="10">
        <v>1615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44415</v>
      </c>
      <c r="B11" s="9">
        <v>56896072.200000003</v>
      </c>
      <c r="C11" s="9">
        <v>50935779.609999999</v>
      </c>
      <c r="D11" s="9">
        <v>871097</v>
      </c>
      <c r="E11" s="9">
        <f t="shared" ref="E11" si="65">B11-C11-D11</f>
        <v>5089195.5900000036</v>
      </c>
      <c r="F11" s="9">
        <f>ROUND(E11*0.04,2)+0.01</f>
        <v>203567.83000000002</v>
      </c>
      <c r="G11" s="9">
        <f t="shared" ref="G11" si="66">ROUND(E11*0,2)</f>
        <v>0</v>
      </c>
      <c r="H11" s="9">
        <f t="shared" ref="H11" si="67">E11-F11-G11</f>
        <v>4885627.7600000035</v>
      </c>
      <c r="I11" s="9">
        <f t="shared" ref="I11" si="68">ROUND(H11*0,2)</f>
        <v>0</v>
      </c>
      <c r="J11" s="9">
        <f t="shared" ref="J11" si="69">ROUND((I11*0.58)+((I11*0.42)*0.1),2)</f>
        <v>0</v>
      </c>
      <c r="K11" s="9">
        <f t="shared" ref="K11" si="70">ROUND((I11*0.42)*0.9,2)</f>
        <v>0</v>
      </c>
      <c r="L11" s="9">
        <f t="shared" ref="L11" si="71">IF(J11+K11=I11,H11-I11,"ERROR")</f>
        <v>4885627.7600000035</v>
      </c>
      <c r="M11" s="9">
        <f t="shared" ref="M11" si="72">ROUND(L11*0.465,2)</f>
        <v>2271816.91</v>
      </c>
      <c r="N11" s="9">
        <f>ROUND(L11*0.3,2)-0.01</f>
        <v>1465688.32</v>
      </c>
      <c r="O11" s="9">
        <f>ROUND(L11*0.1285,2)-0.01</f>
        <v>627803.16</v>
      </c>
      <c r="P11" s="9">
        <f t="shared" ref="P11" si="73">ROUND((L11*0.07)*0.9,2)</f>
        <v>307794.55</v>
      </c>
      <c r="Q11" s="9">
        <f>ROUND(L11*0.01,2)</f>
        <v>48856.28</v>
      </c>
      <c r="R11" s="9">
        <f t="shared" ref="R11" si="74">ROUND((L11*0.0075)*0.9,2)</f>
        <v>32977.99</v>
      </c>
      <c r="S11" s="9">
        <f t="shared" ref="S11" si="75">ROUND((L11*0.0075)*0.9,2)</f>
        <v>32977.99</v>
      </c>
      <c r="T11" s="9">
        <f>ROUND(L11*0.02,2)</f>
        <v>97712.56</v>
      </c>
      <c r="U11" s="9">
        <f t="shared" ref="U11" si="76">ROUND(L11*0,2)</f>
        <v>0</v>
      </c>
      <c r="V11" s="40">
        <f t="shared" ref="V11" si="77">E11/W11</f>
        <v>3049.2484062312783</v>
      </c>
      <c r="W11" s="10">
        <v>1669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44422</v>
      </c>
      <c r="B12" s="9">
        <v>57298882.990000002</v>
      </c>
      <c r="C12" s="9">
        <v>51484775.390000001</v>
      </c>
      <c r="D12" s="9">
        <v>920629</v>
      </c>
      <c r="E12" s="9">
        <f t="shared" ref="E12" si="78">B12-C12-D12</f>
        <v>4893478.6000000015</v>
      </c>
      <c r="F12" s="9">
        <f>ROUND(E12*0.04,2)+0.01</f>
        <v>195739.15000000002</v>
      </c>
      <c r="G12" s="9">
        <f t="shared" ref="G12" si="79">ROUND(E12*0,2)</f>
        <v>0</v>
      </c>
      <c r="H12" s="9">
        <f t="shared" ref="H12" si="80">E12-F12-G12</f>
        <v>4697739.4500000011</v>
      </c>
      <c r="I12" s="9">
        <f t="shared" ref="I12" si="81">ROUND(H12*0,2)</f>
        <v>0</v>
      </c>
      <c r="J12" s="9">
        <f t="shared" ref="J12" si="82">ROUND((I12*0.58)+((I12*0.42)*0.1),2)</f>
        <v>0</v>
      </c>
      <c r="K12" s="9">
        <f t="shared" ref="K12" si="83">ROUND((I12*0.42)*0.9,2)</f>
        <v>0</v>
      </c>
      <c r="L12" s="9">
        <f t="shared" ref="L12" si="84">IF(J12+K12=I12,H12-I12,"ERROR")</f>
        <v>4697739.4500000011</v>
      </c>
      <c r="M12" s="9">
        <f t="shared" ref="M12" si="85">ROUND(L12*0.465,2)</f>
        <v>2184448.84</v>
      </c>
      <c r="N12" s="9">
        <f>ROUND(L12*0.3,2)-0.04</f>
        <v>1409321.8</v>
      </c>
      <c r="O12" s="9">
        <f>ROUND(L12*0.1285,2)+0.02</f>
        <v>603659.54</v>
      </c>
      <c r="P12" s="9">
        <f t="shared" ref="P12" si="86">ROUND((L12*0.07)*0.9,2)</f>
        <v>295957.59000000003</v>
      </c>
      <c r="Q12" s="9">
        <f>ROUND(L12*0.01,2)+0.01</f>
        <v>46977.4</v>
      </c>
      <c r="R12" s="9">
        <f t="shared" ref="R12:R17" si="87">ROUND((L12*0.0075)*0.9,2)</f>
        <v>31709.74</v>
      </c>
      <c r="S12" s="9">
        <f t="shared" ref="S12" si="88">ROUND((L12*0.0075)*0.9,2)</f>
        <v>31709.74</v>
      </c>
      <c r="T12" s="9">
        <f>ROUND(L12*0.02,2)+0.01</f>
        <v>93954.799999999988</v>
      </c>
      <c r="U12" s="9">
        <f t="shared" ref="U12" si="89">ROUND(L12*0,2)</f>
        <v>0</v>
      </c>
      <c r="V12" s="40">
        <f t="shared" ref="V12" si="90">E12/W12</f>
        <v>2933.7401678657084</v>
      </c>
      <c r="W12" s="10">
        <v>1668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44429</v>
      </c>
      <c r="B13" s="9">
        <v>57489833.409999996</v>
      </c>
      <c r="C13" s="9">
        <v>51582585.07</v>
      </c>
      <c r="D13" s="9">
        <v>876789</v>
      </c>
      <c r="E13" s="9">
        <f t="shared" ref="E13" si="91">B13-C13-D13</f>
        <v>5030459.3399999961</v>
      </c>
      <c r="F13" s="9">
        <f>ROUND(E13*0.04,2)</f>
        <v>201218.37</v>
      </c>
      <c r="G13" s="9">
        <f t="shared" ref="G13" si="92">ROUND(E13*0,2)</f>
        <v>0</v>
      </c>
      <c r="H13" s="9">
        <f t="shared" ref="H13" si="93">E13-F13-G13</f>
        <v>4829240.969999996</v>
      </c>
      <c r="I13" s="9">
        <f t="shared" ref="I13" si="94">ROUND(H13*0,2)</f>
        <v>0</v>
      </c>
      <c r="J13" s="9">
        <f t="shared" ref="J13" si="95">ROUND((I13*0.58)+((I13*0.42)*0.1),2)</f>
        <v>0</v>
      </c>
      <c r="K13" s="9">
        <f t="shared" ref="K13" si="96">ROUND((I13*0.42)*0.9,2)</f>
        <v>0</v>
      </c>
      <c r="L13" s="9">
        <f t="shared" ref="L13" si="97">IF(J13+K13=I13,H13-I13,"ERROR")</f>
        <v>4829240.969999996</v>
      </c>
      <c r="M13" s="9">
        <f t="shared" ref="M13" si="98">ROUND(L13*0.465,2)</f>
        <v>2245597.0499999998</v>
      </c>
      <c r="N13" s="9">
        <f>ROUND(L13*0.3,2)+0.05</f>
        <v>1448772.34</v>
      </c>
      <c r="O13" s="9">
        <f>ROUND(L13*0.1285,2)-0.02</f>
        <v>620557.43999999994</v>
      </c>
      <c r="P13" s="9">
        <f t="shared" ref="P13" si="99">ROUND((L13*0.07)*0.9,2)</f>
        <v>304242.18</v>
      </c>
      <c r="Q13" s="9">
        <f>ROUND(L13*0.01,2)-0.01</f>
        <v>48292.4</v>
      </c>
      <c r="R13" s="9">
        <f t="shared" si="87"/>
        <v>32597.38</v>
      </c>
      <c r="S13" s="9">
        <f t="shared" ref="S13" si="100">ROUND((L13*0.0075)*0.9,2)</f>
        <v>32597.38</v>
      </c>
      <c r="T13" s="9">
        <f>ROUND(L13*0.02,2)-0.02</f>
        <v>96584.8</v>
      </c>
      <c r="U13" s="9">
        <f t="shared" ref="U13" si="101">ROUND(L13*0,2)</f>
        <v>0</v>
      </c>
      <c r="V13" s="40">
        <f t="shared" ref="V13" si="102">E13/W13</f>
        <v>2994.3210357142834</v>
      </c>
      <c r="W13" s="10">
        <v>1680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44436</v>
      </c>
      <c r="B14" s="9">
        <v>55703571.269999996</v>
      </c>
      <c r="C14" s="9">
        <v>50117676.710000001</v>
      </c>
      <c r="D14" s="9">
        <v>923693</v>
      </c>
      <c r="E14" s="9">
        <f t="shared" ref="E14" si="103">B14-C14-D14</f>
        <v>4662201.5599999949</v>
      </c>
      <c r="F14" s="9">
        <f>ROUND(E14*0.04,2)+0.03</f>
        <v>186488.09</v>
      </c>
      <c r="G14" s="9">
        <f t="shared" ref="G14" si="104">ROUND(E14*0,2)</f>
        <v>0</v>
      </c>
      <c r="H14" s="9">
        <f t="shared" ref="H14" si="105">E14-F14-G14</f>
        <v>4475713.4699999951</v>
      </c>
      <c r="I14" s="9">
        <f t="shared" ref="I14" si="106">ROUND(H14*0,2)</f>
        <v>0</v>
      </c>
      <c r="J14" s="9">
        <f t="shared" ref="J14" si="107">ROUND((I14*0.58)+((I14*0.42)*0.1),2)</f>
        <v>0</v>
      </c>
      <c r="K14" s="9">
        <f t="shared" ref="K14" si="108">ROUND((I14*0.42)*0.9,2)</f>
        <v>0</v>
      </c>
      <c r="L14" s="9">
        <f t="shared" ref="L14" si="109">IF(J14+K14=I14,H14-I14,"ERROR")</f>
        <v>4475713.4699999951</v>
      </c>
      <c r="M14" s="9">
        <f t="shared" ref="M14" si="110">ROUND(L14*0.465,2)</f>
        <v>2081206.76</v>
      </c>
      <c r="N14" s="9">
        <f>ROUND(L14*0.3,2)-0.02</f>
        <v>1342714.02</v>
      </c>
      <c r="O14" s="9">
        <f>ROUND(L14*0.1285,2)</f>
        <v>575129.18000000005</v>
      </c>
      <c r="P14" s="9">
        <f t="shared" ref="P14" si="111">ROUND((L14*0.07)*0.9,2)</f>
        <v>281969.95</v>
      </c>
      <c r="Q14" s="9">
        <f>ROUND(L14*0.01,2)+0.01</f>
        <v>44757.14</v>
      </c>
      <c r="R14" s="9">
        <f t="shared" si="87"/>
        <v>30211.07</v>
      </c>
      <c r="S14" s="9">
        <f t="shared" ref="S14" si="112">ROUND((L14*0.0075)*0.9,2)</f>
        <v>30211.07</v>
      </c>
      <c r="T14" s="9">
        <f>ROUND(L14*0.02,2)+0.01</f>
        <v>89514.28</v>
      </c>
      <c r="U14" s="9">
        <f t="shared" ref="U14" si="113">ROUND(L14*0,2)</f>
        <v>0</v>
      </c>
      <c r="V14" s="40">
        <f t="shared" ref="V14" si="114">E14/W14</f>
        <v>2752.1851003541883</v>
      </c>
      <c r="W14" s="10">
        <v>1694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44443</v>
      </c>
      <c r="B15" s="9">
        <v>56681700.25</v>
      </c>
      <c r="C15" s="9">
        <v>51068955.049999997</v>
      </c>
      <c r="D15" s="9">
        <v>854533</v>
      </c>
      <c r="E15" s="9">
        <f t="shared" ref="E15" si="115">B15-C15-D15</f>
        <v>4758212.200000003</v>
      </c>
      <c r="F15" s="9">
        <f>ROUND(E15*0.04,2)-0.02</f>
        <v>190328.47</v>
      </c>
      <c r="G15" s="9">
        <f t="shared" ref="G15" si="116">ROUND(E15*0,2)</f>
        <v>0</v>
      </c>
      <c r="H15" s="9">
        <f t="shared" ref="H15" si="117">E15-F15-G15</f>
        <v>4567883.7300000032</v>
      </c>
      <c r="I15" s="9">
        <f t="shared" ref="I15" si="118">ROUND(H15*0,2)</f>
        <v>0</v>
      </c>
      <c r="J15" s="9">
        <f t="shared" ref="J15" si="119">ROUND((I15*0.58)+((I15*0.42)*0.1),2)</f>
        <v>0</v>
      </c>
      <c r="K15" s="9">
        <f t="shared" ref="K15" si="120">ROUND((I15*0.42)*0.9,2)</f>
        <v>0</v>
      </c>
      <c r="L15" s="9">
        <f t="shared" ref="L15" si="121">IF(J15+K15=I15,H15-I15,"ERROR")</f>
        <v>4567883.7300000032</v>
      </c>
      <c r="M15" s="9">
        <f t="shared" ref="M15" si="122">ROUND(L15*0.465,2)</f>
        <v>2124065.9300000002</v>
      </c>
      <c r="N15" s="9">
        <f>ROUND(L15*0.3,2)-0.01</f>
        <v>1370365.11</v>
      </c>
      <c r="O15" s="9">
        <f>ROUND(L15*0.1285,2)</f>
        <v>586973.06000000006</v>
      </c>
      <c r="P15" s="9">
        <f t="shared" ref="P15" si="123">ROUND((L15*0.07)*0.9,2)</f>
        <v>287776.67</v>
      </c>
      <c r="Q15" s="9">
        <f>ROUND(L15*0.01,2)</f>
        <v>45678.84</v>
      </c>
      <c r="R15" s="9">
        <f t="shared" si="87"/>
        <v>30833.22</v>
      </c>
      <c r="S15" s="9">
        <f t="shared" ref="S15" si="124">ROUND((L15*0.0075)*0.9,2)</f>
        <v>30833.22</v>
      </c>
      <c r="T15" s="9">
        <v>89058</v>
      </c>
      <c r="U15" s="9">
        <v>2299.6799999999998</v>
      </c>
      <c r="V15" s="40">
        <f t="shared" ref="V15" si="125">E15/W15</f>
        <v>2820.5170124481347</v>
      </c>
      <c r="W15" s="10">
        <v>1687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44450</v>
      </c>
      <c r="B16" s="9">
        <v>65370943.31000001</v>
      </c>
      <c r="C16" s="9">
        <v>58864595.359999999</v>
      </c>
      <c r="D16" s="9">
        <v>1171935</v>
      </c>
      <c r="E16" s="9">
        <f t="shared" ref="E16" si="126">B16-C16-D16</f>
        <v>5334412.9500000104</v>
      </c>
      <c r="F16" s="9">
        <f>ROUND(E16*0.04,2)-0.01</f>
        <v>213376.50999999998</v>
      </c>
      <c r="G16" s="9">
        <f t="shared" ref="G16" si="127">ROUND(E16*0,2)</f>
        <v>0</v>
      </c>
      <c r="H16" s="9">
        <f t="shared" ref="H16" si="128">E16-F16-G16</f>
        <v>5121036.4400000107</v>
      </c>
      <c r="I16" s="9">
        <f t="shared" ref="I16" si="129">ROUND(H16*0,2)</f>
        <v>0</v>
      </c>
      <c r="J16" s="9">
        <f t="shared" ref="J16" si="130">ROUND((I16*0.58)+((I16*0.42)*0.1),2)</f>
        <v>0</v>
      </c>
      <c r="K16" s="9">
        <f t="shared" ref="K16" si="131">ROUND((I16*0.42)*0.9,2)</f>
        <v>0</v>
      </c>
      <c r="L16" s="9">
        <f t="shared" ref="L16" si="132">IF(J16+K16=I16,H16-I16,"ERROR")</f>
        <v>5121036.4400000107</v>
      </c>
      <c r="M16" s="9">
        <f t="shared" ref="M16" si="133">ROUND(L16*0.465,2)</f>
        <v>2381281.94</v>
      </c>
      <c r="N16" s="9">
        <f>ROUND(L16*0.3,2)+0.03</f>
        <v>1536310.96</v>
      </c>
      <c r="O16" s="9">
        <f>ROUND(L16*0.1285,2)-0.02</f>
        <v>658053.16</v>
      </c>
      <c r="P16" s="9">
        <f t="shared" ref="P16" si="134">ROUND((L16*0.07)*0.9,2)</f>
        <v>322625.3</v>
      </c>
      <c r="Q16" s="9">
        <f>ROUND(L16*0.01,2)</f>
        <v>51210.36</v>
      </c>
      <c r="R16" s="9">
        <f t="shared" si="87"/>
        <v>34567</v>
      </c>
      <c r="S16" s="9">
        <f t="shared" ref="S16" si="135">ROUND((L16*0.0075)*0.9,2)</f>
        <v>34567</v>
      </c>
      <c r="T16" s="9">
        <f>ROUND(L16*0.01,2)</f>
        <v>51210.36</v>
      </c>
      <c r="U16" s="9">
        <f>ROUND(L16*0.01,2)</f>
        <v>51210.36</v>
      </c>
      <c r="V16" s="40">
        <f t="shared" ref="V16" si="136">E16/W16</f>
        <v>3083.4756936416247</v>
      </c>
      <c r="W16" s="10">
        <v>1730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44457</v>
      </c>
      <c r="B17" s="9">
        <v>56357846.850000001</v>
      </c>
      <c r="C17" s="9">
        <v>50788165.610000007</v>
      </c>
      <c r="D17" s="9">
        <v>912873</v>
      </c>
      <c r="E17" s="9">
        <f t="shared" ref="E17" si="137">B17-C17-D17</f>
        <v>4656808.2399999946</v>
      </c>
      <c r="F17" s="9">
        <f>ROUND(E17*0.04,2)+0.01</f>
        <v>186272.34</v>
      </c>
      <c r="G17" s="9">
        <f t="shared" ref="G17" si="138">ROUND(E17*0,2)</f>
        <v>0</v>
      </c>
      <c r="H17" s="9">
        <f t="shared" ref="H17" si="139">E17-F17-G17</f>
        <v>4470535.8999999948</v>
      </c>
      <c r="I17" s="9">
        <f t="shared" ref="I17" si="140">ROUND(H17*0,2)</f>
        <v>0</v>
      </c>
      <c r="J17" s="9">
        <f t="shared" ref="J17" si="141">ROUND((I17*0.58)+((I17*0.42)*0.1),2)</f>
        <v>0</v>
      </c>
      <c r="K17" s="9">
        <f t="shared" ref="K17" si="142">ROUND((I17*0.42)*0.9,2)</f>
        <v>0</v>
      </c>
      <c r="L17" s="9">
        <f t="shared" ref="L17" si="143">IF(J17+K17=I17,H17-I17,"ERROR")</f>
        <v>4470535.8999999948</v>
      </c>
      <c r="M17" s="9">
        <f t="shared" ref="M17" si="144">ROUND(L17*0.465,2)</f>
        <v>2078799.19</v>
      </c>
      <c r="N17" s="9">
        <f>ROUND(L17*0.3,2)+0.01</f>
        <v>1341160.78</v>
      </c>
      <c r="O17" s="9">
        <f>ROUND(L17*0.1285,2)-0.01</f>
        <v>574463.85</v>
      </c>
      <c r="P17" s="9">
        <f t="shared" ref="P17" si="145">ROUND((L17*0.07)*0.9,2)</f>
        <v>281643.76</v>
      </c>
      <c r="Q17" s="9">
        <f>ROUND(L17*0.01,2)</f>
        <v>44705.36</v>
      </c>
      <c r="R17" s="9">
        <f t="shared" si="87"/>
        <v>30176.12</v>
      </c>
      <c r="S17" s="9">
        <f t="shared" ref="S17" si="146">ROUND((L17*0.0075)*0.9,2)</f>
        <v>30176.12</v>
      </c>
      <c r="T17" s="9">
        <f>ROUND(L17*0.01,2)</f>
        <v>44705.36</v>
      </c>
      <c r="U17" s="9">
        <f>ROUND(L17*0.01,2)</f>
        <v>44705.36</v>
      </c>
      <c r="V17" s="40">
        <f t="shared" ref="V17" si="147">E17/W17</f>
        <v>2707.4466511627875</v>
      </c>
      <c r="W17" s="10">
        <v>1720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44464</v>
      </c>
      <c r="B18" s="9">
        <v>57718192.129999995</v>
      </c>
      <c r="C18" s="9">
        <v>51808956.449999996</v>
      </c>
      <c r="D18" s="9">
        <v>985280</v>
      </c>
      <c r="E18" s="9">
        <f t="shared" ref="E18" si="148">B18-C18-D18</f>
        <v>4923955.68</v>
      </c>
      <c r="F18" s="9">
        <f>ROUND(E18*0.04,2)</f>
        <v>196958.23</v>
      </c>
      <c r="G18" s="9">
        <f t="shared" ref="G18" si="149">ROUND(E18*0,2)</f>
        <v>0</v>
      </c>
      <c r="H18" s="9">
        <f t="shared" ref="H18" si="150">E18-F18-G18</f>
        <v>4726997.4499999993</v>
      </c>
      <c r="I18" s="9">
        <f t="shared" ref="I18" si="151">ROUND(H18*0,2)</f>
        <v>0</v>
      </c>
      <c r="J18" s="9">
        <f t="shared" ref="J18" si="152">ROUND((I18*0.58)+((I18*0.42)*0.1),2)</f>
        <v>0</v>
      </c>
      <c r="K18" s="9">
        <f t="shared" ref="K18" si="153">ROUND((I18*0.42)*0.9,2)</f>
        <v>0</v>
      </c>
      <c r="L18" s="9">
        <f t="shared" ref="L18" si="154">IF(J18+K18=I18,H18-I18,"ERROR")</f>
        <v>4726997.4499999993</v>
      </c>
      <c r="M18" s="9">
        <f t="shared" ref="M18" si="155">ROUND(L18*0.465,2)</f>
        <v>2198053.81</v>
      </c>
      <c r="N18" s="9">
        <f>ROUND(L18*0.3,2)-0.02</f>
        <v>1418099.22</v>
      </c>
      <c r="O18" s="9">
        <f>ROUND(L18*0.1285,2)+0.01</f>
        <v>607419.18000000005</v>
      </c>
      <c r="P18" s="9">
        <f t="shared" ref="P18" si="156">ROUND((L18*0.07)*0.9,2)</f>
        <v>297800.84000000003</v>
      </c>
      <c r="Q18" s="9">
        <f>ROUND(L18*0.01,2)+0.01</f>
        <v>47269.98</v>
      </c>
      <c r="R18" s="9">
        <f t="shared" ref="R18" si="157">ROUND((L18*0.0075)*0.9,2)</f>
        <v>31907.23</v>
      </c>
      <c r="S18" s="9">
        <f t="shared" ref="S18" si="158">ROUND((L18*0.0075)*0.9,2)</f>
        <v>31907.23</v>
      </c>
      <c r="T18" s="9">
        <f>ROUND(L18*0.01,2)+0.01</f>
        <v>47269.98</v>
      </c>
      <c r="U18" s="9">
        <f>ROUND(L18*0.01,2)+0.01</f>
        <v>47269.98</v>
      </c>
      <c r="V18" s="40">
        <f t="shared" ref="V18" si="159">E18/W18</f>
        <v>2841.2900634737448</v>
      </c>
      <c r="W18" s="10">
        <v>1733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44471</v>
      </c>
      <c r="B19" s="9">
        <v>55420634.109999999</v>
      </c>
      <c r="C19" s="9">
        <v>49925368.200000003</v>
      </c>
      <c r="D19" s="9">
        <v>888407</v>
      </c>
      <c r="E19" s="9">
        <f t="shared" ref="E19" si="160">B19-C19-D19</f>
        <v>4606858.9099999964</v>
      </c>
      <c r="F19" s="9">
        <f>ROUND(E19*0.04,2)</f>
        <v>184274.36</v>
      </c>
      <c r="G19" s="9">
        <f t="shared" ref="G19" si="161">ROUND(E19*0,2)</f>
        <v>0</v>
      </c>
      <c r="H19" s="9">
        <f t="shared" ref="H19" si="162">E19-F19-G19</f>
        <v>4422584.5499999961</v>
      </c>
      <c r="I19" s="9">
        <f t="shared" ref="I19" si="163">ROUND(H19*0,2)</f>
        <v>0</v>
      </c>
      <c r="J19" s="9">
        <f t="shared" ref="J19" si="164">ROUND((I19*0.58)+((I19*0.42)*0.1),2)</f>
        <v>0</v>
      </c>
      <c r="K19" s="9">
        <f t="shared" ref="K19" si="165">ROUND((I19*0.42)*0.9,2)</f>
        <v>0</v>
      </c>
      <c r="L19" s="9">
        <f t="shared" ref="L19" si="166">IF(J19+K19=I19,H19-I19,"ERROR")</f>
        <v>4422584.5499999961</v>
      </c>
      <c r="M19" s="9">
        <f t="shared" ref="M19" si="167">ROUND(L19*0.465,2)</f>
        <v>2056501.82</v>
      </c>
      <c r="N19" s="9">
        <f>ROUND(L19*0.3,2)+0.02</f>
        <v>1326775.3900000001</v>
      </c>
      <c r="O19" s="9">
        <f>ROUND(L19*0.1285,2)-0.02</f>
        <v>568302.09</v>
      </c>
      <c r="P19" s="9">
        <f t="shared" ref="P19" si="168">ROUND((L19*0.07)*0.9,2)</f>
        <v>278622.83</v>
      </c>
      <c r="Q19" s="9">
        <f>ROUND(L19*0.01,2)-0.01</f>
        <v>44225.84</v>
      </c>
      <c r="R19" s="9">
        <f t="shared" ref="R19" si="169">ROUND((L19*0.0075)*0.9,2)</f>
        <v>29852.45</v>
      </c>
      <c r="S19" s="9">
        <f t="shared" ref="S19" si="170">ROUND((L19*0.0075)*0.9,2)</f>
        <v>29852.45</v>
      </c>
      <c r="T19" s="9">
        <f>ROUND(L19*0.01,2)-0.01</f>
        <v>44225.84</v>
      </c>
      <c r="U19" s="9">
        <f>ROUND(L19*0.01,2)-0.01</f>
        <v>44225.84</v>
      </c>
      <c r="V19" s="40">
        <f t="shared" ref="V19" si="171">E19/W19</f>
        <v>2620.5113253697364</v>
      </c>
      <c r="W19" s="10">
        <v>1758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44478</v>
      </c>
      <c r="B20" s="9">
        <v>59052834.5</v>
      </c>
      <c r="C20" s="9">
        <v>53166081.280000009</v>
      </c>
      <c r="D20" s="9">
        <v>939337</v>
      </c>
      <c r="E20" s="9">
        <f t="shared" ref="E20" si="172">B20-C20-D20</f>
        <v>4947416.2199999914</v>
      </c>
      <c r="F20" s="9">
        <f>ROUND(E20*0.04,2)</f>
        <v>197896.65</v>
      </c>
      <c r="G20" s="9">
        <f t="shared" ref="G20" si="173">ROUND(E20*0,2)</f>
        <v>0</v>
      </c>
      <c r="H20" s="9">
        <f t="shared" ref="H20" si="174">E20-F20-G20</f>
        <v>4749519.569999991</v>
      </c>
      <c r="I20" s="9">
        <f t="shared" ref="I20" si="175">ROUND(H20*0,2)</f>
        <v>0</v>
      </c>
      <c r="J20" s="9">
        <f t="shared" ref="J20" si="176">ROUND((I20*0.58)+((I20*0.42)*0.1),2)</f>
        <v>0</v>
      </c>
      <c r="K20" s="9">
        <f t="shared" ref="K20" si="177">ROUND((I20*0.42)*0.9,2)</f>
        <v>0</v>
      </c>
      <c r="L20" s="9">
        <f t="shared" ref="L20" si="178">IF(J20+K20=I20,H20-I20,"ERROR")</f>
        <v>4749519.569999991</v>
      </c>
      <c r="M20" s="9">
        <f t="shared" ref="M20" si="179">ROUND(L20*0.465,2)</f>
        <v>2208526.6</v>
      </c>
      <c r="N20" s="9">
        <f>ROUND(L20*0.3,2)-0.03</f>
        <v>1424855.84</v>
      </c>
      <c r="O20" s="9">
        <f>ROUND(L20*0.1285,2)+0.02</f>
        <v>610313.28</v>
      </c>
      <c r="P20" s="9">
        <f t="shared" ref="P20" si="180">ROUND((L20*0.07)*0.9,2)</f>
        <v>299219.73</v>
      </c>
      <c r="Q20" s="9">
        <f>ROUND(L20*0.01,2)</f>
        <v>47495.199999999997</v>
      </c>
      <c r="R20" s="9">
        <f t="shared" ref="R20" si="181">ROUND((L20*0.0075)*0.9,2)</f>
        <v>32059.26</v>
      </c>
      <c r="S20" s="9">
        <f t="shared" ref="S20" si="182">ROUND((L20*0.0075)*0.9,2)</f>
        <v>32059.26</v>
      </c>
      <c r="T20" s="9">
        <f>ROUND(L20*0.01,2)</f>
        <v>47495.199999999997</v>
      </c>
      <c r="U20" s="9">
        <f>ROUND(L20*0.01,2)</f>
        <v>47495.199999999997</v>
      </c>
      <c r="V20" s="40">
        <f t="shared" ref="V20" si="183">E20/W20</f>
        <v>2849.8941359446953</v>
      </c>
      <c r="W20" s="10">
        <v>1736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44485</v>
      </c>
      <c r="B21" s="9">
        <v>56516031.580000006</v>
      </c>
      <c r="C21" s="9">
        <v>50557234.93</v>
      </c>
      <c r="D21" s="9">
        <v>844568</v>
      </c>
      <c r="E21" s="9">
        <f t="shared" ref="E21" si="184">B21-C21-D21</f>
        <v>5114228.650000006</v>
      </c>
      <c r="F21" s="9">
        <f>ROUND(E21*0.04,2)-0.01</f>
        <v>204569.13999999998</v>
      </c>
      <c r="G21" s="9">
        <f t="shared" ref="G21" si="185">ROUND(E21*0,2)</f>
        <v>0</v>
      </c>
      <c r="H21" s="9">
        <f t="shared" ref="H21" si="186">E21-F21-G21</f>
        <v>4909659.5100000063</v>
      </c>
      <c r="I21" s="9">
        <f t="shared" ref="I21" si="187">ROUND(H21*0,2)</f>
        <v>0</v>
      </c>
      <c r="J21" s="9">
        <f t="shared" ref="J21" si="188">ROUND((I21*0.58)+((I21*0.42)*0.1),2)</f>
        <v>0</v>
      </c>
      <c r="K21" s="9">
        <f t="shared" ref="K21" si="189">ROUND((I21*0.42)*0.9,2)</f>
        <v>0</v>
      </c>
      <c r="L21" s="9">
        <f t="shared" ref="L21" si="190">IF(J21+K21=I21,H21-I21,"ERROR")</f>
        <v>4909659.5100000063</v>
      </c>
      <c r="M21" s="9">
        <f t="shared" ref="M21" si="191">ROUND(L21*0.465,2)</f>
        <v>2282991.67</v>
      </c>
      <c r="N21" s="9">
        <f>ROUND(L21*0.3,2)-0.04</f>
        <v>1472897.81</v>
      </c>
      <c r="O21" s="9">
        <f>ROUND(L21*0.1285,2)+0.03</f>
        <v>630891.28</v>
      </c>
      <c r="P21" s="9">
        <f t="shared" ref="P21" si="192">ROUND((L21*0.07)*0.9,2)</f>
        <v>309308.55</v>
      </c>
      <c r="Q21" s="9">
        <f>ROUND(L21*0.01,2)</f>
        <v>49096.6</v>
      </c>
      <c r="R21" s="9">
        <f t="shared" ref="R21" si="193">ROUND((L21*0.0075)*0.9,2)</f>
        <v>33140.199999999997</v>
      </c>
      <c r="S21" s="9">
        <f t="shared" ref="S21" si="194">ROUND((L21*0.0075)*0.9,2)</f>
        <v>33140.199999999997</v>
      </c>
      <c r="T21" s="9">
        <f>ROUND(L21*0.01,2)</f>
        <v>49096.6</v>
      </c>
      <c r="U21" s="9">
        <f>ROUND(L21*0.01,2)</f>
        <v>49096.6</v>
      </c>
      <c r="V21" s="40">
        <f t="shared" ref="V21" si="195">E21/W21</f>
        <v>2937.5236358414741</v>
      </c>
      <c r="W21" s="10">
        <v>1741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44492</v>
      </c>
      <c r="B22" s="9">
        <v>58209522.449999996</v>
      </c>
      <c r="C22" s="9">
        <v>52332327.230000004</v>
      </c>
      <c r="D22" s="9">
        <v>914962</v>
      </c>
      <c r="E22" s="9">
        <f t="shared" ref="E22" si="196">B22-C22-D22</f>
        <v>4962233.2199999914</v>
      </c>
      <c r="F22" s="9">
        <f>ROUND(E22*0.04,2)</f>
        <v>198489.33</v>
      </c>
      <c r="G22" s="9">
        <f t="shared" ref="G22" si="197">ROUND(E22*0,2)</f>
        <v>0</v>
      </c>
      <c r="H22" s="9">
        <f t="shared" ref="H22" si="198">E22-F22-G22</f>
        <v>4763743.8899999913</v>
      </c>
      <c r="I22" s="9">
        <f t="shared" ref="I22" si="199">ROUND(H22*0,2)</f>
        <v>0</v>
      </c>
      <c r="J22" s="9">
        <f t="shared" ref="J22" si="200">ROUND((I22*0.58)+((I22*0.42)*0.1),2)</f>
        <v>0</v>
      </c>
      <c r="K22" s="9">
        <f t="shared" ref="K22" si="201">ROUND((I22*0.42)*0.9,2)</f>
        <v>0</v>
      </c>
      <c r="L22" s="9">
        <f t="shared" ref="L22" si="202">IF(J22+K22=I22,H22-I22,"ERROR")</f>
        <v>4763743.8899999913</v>
      </c>
      <c r="M22" s="9">
        <f t="shared" ref="M22" si="203">ROUND(L22*0.465,2)</f>
        <v>2215140.91</v>
      </c>
      <c r="N22" s="9">
        <f>ROUND(L22*0.3,2)-0.01</f>
        <v>1429123.16</v>
      </c>
      <c r="O22" s="9">
        <f>ROUND(L22*0.1285,2)</f>
        <v>612141.09</v>
      </c>
      <c r="P22" s="9">
        <f t="shared" ref="P22" si="204">ROUND((L22*0.07)*0.9,2)</f>
        <v>300115.87</v>
      </c>
      <c r="Q22" s="9">
        <f>ROUND(L22*0.01,2)</f>
        <v>47637.440000000002</v>
      </c>
      <c r="R22" s="9">
        <f t="shared" ref="R22" si="205">ROUND((L22*0.0075)*0.9,2)</f>
        <v>32155.27</v>
      </c>
      <c r="S22" s="9">
        <f t="shared" ref="S22" si="206">ROUND((L22*0.0075)*0.9,2)</f>
        <v>32155.27</v>
      </c>
      <c r="T22" s="9">
        <f>ROUND(L22*0.01,2)</f>
        <v>47637.440000000002</v>
      </c>
      <c r="U22" s="9">
        <f>ROUND(L22*0.01,2)</f>
        <v>47637.440000000002</v>
      </c>
      <c r="V22" s="40">
        <f t="shared" ref="V22" si="207">E22/W22</f>
        <v>3014.7224908869935</v>
      </c>
      <c r="W22" s="10">
        <v>1646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44499</v>
      </c>
      <c r="B23" s="9">
        <v>58660857.469999999</v>
      </c>
      <c r="C23" s="9">
        <v>52652543.079999998</v>
      </c>
      <c r="D23" s="9">
        <v>874059</v>
      </c>
      <c r="E23" s="9">
        <f t="shared" ref="E23" si="208">B23-C23-D23</f>
        <v>5134255.3900000006</v>
      </c>
      <c r="F23" s="9">
        <f>ROUND(E23*0.04,2)</f>
        <v>205370.22</v>
      </c>
      <c r="G23" s="9">
        <f t="shared" ref="G23" si="209">ROUND(E23*0,2)</f>
        <v>0</v>
      </c>
      <c r="H23" s="9">
        <f t="shared" ref="H23" si="210">E23-F23-G23</f>
        <v>4928885.1700000009</v>
      </c>
      <c r="I23" s="9">
        <f t="shared" ref="I23" si="211">ROUND(H23*0,2)</f>
        <v>0</v>
      </c>
      <c r="J23" s="9">
        <f t="shared" ref="J23" si="212">ROUND((I23*0.58)+((I23*0.42)*0.1),2)</f>
        <v>0</v>
      </c>
      <c r="K23" s="9">
        <f t="shared" ref="K23" si="213">ROUND((I23*0.42)*0.9,2)</f>
        <v>0</v>
      </c>
      <c r="L23" s="9">
        <f t="shared" ref="L23" si="214">IF(J23+K23=I23,H23-I23,"ERROR")</f>
        <v>4928885.1700000009</v>
      </c>
      <c r="M23" s="9">
        <f t="shared" ref="M23" si="215">ROUND(L23*0.465,2)</f>
        <v>2291931.6</v>
      </c>
      <c r="N23" s="9">
        <f>ROUND(L23*0.3,2)-0.04</f>
        <v>1478665.51</v>
      </c>
      <c r="O23" s="9">
        <f>ROUND(L23*0.1285,2)+0.03</f>
        <v>633361.77</v>
      </c>
      <c r="P23" s="9">
        <f t="shared" ref="P23" si="216">ROUND((L23*0.07)*0.9,2)</f>
        <v>310519.77</v>
      </c>
      <c r="Q23" s="9">
        <f>ROUND(L23*0.01,2)+0.01</f>
        <v>49288.86</v>
      </c>
      <c r="R23" s="9">
        <f t="shared" ref="R23" si="217">ROUND((L23*0.0075)*0.9,2)</f>
        <v>33269.97</v>
      </c>
      <c r="S23" s="9">
        <f t="shared" ref="S23" si="218">ROUND((L23*0.0075)*0.9,2)</f>
        <v>33269.97</v>
      </c>
      <c r="T23" s="9">
        <f>ROUND(L23*0.01,2)+0.01</f>
        <v>49288.86</v>
      </c>
      <c r="U23" s="9">
        <f>ROUND(L23*0.01,2)+0.01</f>
        <v>49288.86</v>
      </c>
      <c r="V23" s="40">
        <f t="shared" ref="V23" si="219">E23/W23</f>
        <v>3132.5536241610744</v>
      </c>
      <c r="W23" s="10">
        <v>1639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44506</v>
      </c>
      <c r="B24" s="9">
        <v>56882341.299999997</v>
      </c>
      <c r="C24" s="9">
        <v>51050229.670000002</v>
      </c>
      <c r="D24" s="9">
        <v>818766</v>
      </c>
      <c r="E24" s="9">
        <f t="shared" ref="E24" si="220">B24-C24-D24</f>
        <v>5013345.6299999952</v>
      </c>
      <c r="F24" s="9">
        <f>ROUND(E24*0.04,2)-0.01</f>
        <v>200533.81999999998</v>
      </c>
      <c r="G24" s="9">
        <f t="shared" ref="G24" si="221">ROUND(E24*0,2)</f>
        <v>0</v>
      </c>
      <c r="H24" s="9">
        <f t="shared" ref="H24" si="222">E24-F24-G24</f>
        <v>4812811.8099999949</v>
      </c>
      <c r="I24" s="9">
        <f t="shared" ref="I24" si="223">ROUND(H24*0,2)</f>
        <v>0</v>
      </c>
      <c r="J24" s="9">
        <f t="shared" ref="J24" si="224">ROUND((I24*0.58)+((I24*0.42)*0.1),2)</f>
        <v>0</v>
      </c>
      <c r="K24" s="9">
        <f t="shared" ref="K24" si="225">ROUND((I24*0.42)*0.9,2)</f>
        <v>0</v>
      </c>
      <c r="L24" s="9">
        <f t="shared" ref="L24" si="226">IF(J24+K24=I24,H24-I24,"ERROR")</f>
        <v>4812811.8099999949</v>
      </c>
      <c r="M24" s="9">
        <f t="shared" ref="M24" si="227">ROUND(L24*0.465,2)</f>
        <v>2237957.4900000002</v>
      </c>
      <c r="N24" s="9">
        <f>ROUND(L24*0.3,2)-0.01</f>
        <v>1443843.53</v>
      </c>
      <c r="O24" s="9">
        <f>ROUND(L24*0.1285,2)+0.01</f>
        <v>618446.32999999996</v>
      </c>
      <c r="P24" s="9">
        <f t="shared" ref="P24" si="228">ROUND((L24*0.07)*0.9,2)</f>
        <v>303207.14</v>
      </c>
      <c r="Q24" s="9">
        <f>ROUND(L24*0.01,2)</f>
        <v>48128.12</v>
      </c>
      <c r="R24" s="9">
        <f t="shared" ref="R24" si="229">ROUND((L24*0.0075)*0.9,2)</f>
        <v>32486.48</v>
      </c>
      <c r="S24" s="9">
        <f t="shared" ref="S24" si="230">ROUND((L24*0.0075)*0.9,2)</f>
        <v>32486.48</v>
      </c>
      <c r="T24" s="9">
        <f>ROUND(L24*0.01,2)</f>
        <v>48128.12</v>
      </c>
      <c r="U24" s="9">
        <f>ROUND(L24*0.01,2)</f>
        <v>48128.12</v>
      </c>
      <c r="V24" s="40">
        <f t="shared" ref="V24" si="231">E24/W24</f>
        <v>3058.7831787675382</v>
      </c>
      <c r="W24" s="10">
        <v>1639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44513</v>
      </c>
      <c r="B25" s="9">
        <v>57985638.560000002</v>
      </c>
      <c r="C25" s="9">
        <v>52144609.140000001</v>
      </c>
      <c r="D25" s="9">
        <v>828703</v>
      </c>
      <c r="E25" s="9">
        <f t="shared" ref="E25" si="232">B25-C25-D25</f>
        <v>5012326.4200000018</v>
      </c>
      <c r="F25" s="9">
        <f>ROUND(E25*0.04,2)-0.01</f>
        <v>200493.05</v>
      </c>
      <c r="G25" s="9">
        <f t="shared" ref="G25" si="233">ROUND(E25*0,2)</f>
        <v>0</v>
      </c>
      <c r="H25" s="66">
        <f t="shared" ref="H25" si="234">E25-F25-G25</f>
        <v>4811833.370000002</v>
      </c>
      <c r="I25" s="9">
        <f t="shared" ref="I25" si="235">ROUND(H25*0,2)</f>
        <v>0</v>
      </c>
      <c r="J25" s="9">
        <f t="shared" ref="J25" si="236">ROUND((I25*0.58)+((I25*0.42)*0.1),2)</f>
        <v>0</v>
      </c>
      <c r="K25" s="9">
        <f t="shared" ref="K25" si="237">ROUND((I25*0.42)*0.9,2)</f>
        <v>0</v>
      </c>
      <c r="L25" s="9">
        <f t="shared" ref="L25" si="238">IF(J25+K25=I25,H25-I25,"ERROR")</f>
        <v>4811833.370000002</v>
      </c>
      <c r="M25" s="9">
        <f t="shared" ref="M25" si="239">ROUND(L25*0.465,2)</f>
        <v>2237502.52</v>
      </c>
      <c r="N25" s="9">
        <f>ROUND(L25*0.3,2)-0.05</f>
        <v>1443549.96</v>
      </c>
      <c r="O25" s="9">
        <f>ROUND(L25*0.1285,2)+0.02</f>
        <v>618320.61</v>
      </c>
      <c r="P25" s="9">
        <f t="shared" ref="P25" si="240">ROUND((L25*0.07)*0.9,2)</f>
        <v>303145.5</v>
      </c>
      <c r="Q25" s="9">
        <f>ROUND(L25*0.01,2)+0.01</f>
        <v>48118.340000000004</v>
      </c>
      <c r="R25" s="9">
        <f t="shared" ref="R25" si="241">ROUND((L25*0.0075)*0.9,2)</f>
        <v>32479.88</v>
      </c>
      <c r="S25" s="9">
        <f t="shared" ref="S25" si="242">ROUND((L25*0.0075)*0.9,2)</f>
        <v>32479.88</v>
      </c>
      <c r="T25" s="9">
        <f>ROUND(L25*0.01,2)+0.01</f>
        <v>48118.340000000004</v>
      </c>
      <c r="U25" s="9">
        <f>ROUND(L25*0.01,2)+0.01</f>
        <v>48118.340000000004</v>
      </c>
      <c r="V25" s="40">
        <f t="shared" ref="V25" si="243">E25/W25</f>
        <v>3056.2965975609768</v>
      </c>
      <c r="W25" s="10">
        <v>1640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44520</v>
      </c>
      <c r="B26" s="9">
        <v>54025363.160000004</v>
      </c>
      <c r="C26" s="9">
        <v>48776973.009999998</v>
      </c>
      <c r="D26" s="9">
        <v>811375</v>
      </c>
      <c r="E26" s="9">
        <f t="shared" ref="E26" si="244">B26-C26-D26</f>
        <v>4437015.150000006</v>
      </c>
      <c r="F26" s="9">
        <f>ROUND(E26*0.04,2)-0.01</f>
        <v>177480.59999999998</v>
      </c>
      <c r="G26" s="9">
        <f t="shared" ref="G26" si="245">ROUND(E26*0,2)</f>
        <v>0</v>
      </c>
      <c r="H26" s="66">
        <f t="shared" ref="H26" si="246">E26-F26-G26</f>
        <v>4259534.5500000063</v>
      </c>
      <c r="I26" s="9">
        <f t="shared" ref="I26" si="247">ROUND(H26*0,2)</f>
        <v>0</v>
      </c>
      <c r="J26" s="9">
        <f t="shared" ref="J26" si="248">ROUND((I26*0.58)+((I26*0.42)*0.1),2)</f>
        <v>0</v>
      </c>
      <c r="K26" s="9">
        <f t="shared" ref="K26" si="249">ROUND((I26*0.42)*0.9,2)</f>
        <v>0</v>
      </c>
      <c r="L26" s="66">
        <f t="shared" ref="L26" si="250">IF(J26+K26=I26,H26-I26,"ERROR")</f>
        <v>4259534.5500000063</v>
      </c>
      <c r="M26" s="9">
        <f t="shared" ref="M26" si="251">ROUND(L26*0.465,2)</f>
        <v>1980683.57</v>
      </c>
      <c r="N26" s="9">
        <f>ROUND(L26*0.3,2)+0.02</f>
        <v>1277860.3900000001</v>
      </c>
      <c r="O26" s="9">
        <f>ROUND(L26*0.1285,2)-0.02</f>
        <v>547350.16999999993</v>
      </c>
      <c r="P26" s="9">
        <f t="shared" ref="P26" si="252">ROUND((L26*0.07)*0.9,2)</f>
        <v>268350.68</v>
      </c>
      <c r="Q26" s="9">
        <f>ROUND(L26*0.01,2)-0.01</f>
        <v>42595.34</v>
      </c>
      <c r="R26" s="9">
        <f t="shared" ref="R26" si="253">ROUND((L26*0.0075)*0.9,2)</f>
        <v>28751.86</v>
      </c>
      <c r="S26" s="9">
        <f t="shared" ref="S26" si="254">ROUND((L26*0.0075)*0.9,2)</f>
        <v>28751.86</v>
      </c>
      <c r="T26" s="9">
        <f>ROUND(L26*0.01,2)-0.01</f>
        <v>42595.34</v>
      </c>
      <c r="U26" s="9">
        <f>ROUND(L26*0.01,2)-0.01</f>
        <v>42595.34</v>
      </c>
      <c r="V26" s="40">
        <f t="shared" ref="V26" si="255">E26/W26</f>
        <v>2661.6767546490737</v>
      </c>
      <c r="W26" s="10">
        <v>1667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44527</v>
      </c>
      <c r="B27" s="9">
        <v>61128112.359999999</v>
      </c>
      <c r="C27" s="9">
        <v>54997826.420000002</v>
      </c>
      <c r="D27" s="9">
        <v>841601</v>
      </c>
      <c r="E27" s="9">
        <f t="shared" ref="E27" si="256">B27-C27-D27</f>
        <v>5288684.9399999976</v>
      </c>
      <c r="F27" s="9">
        <f>ROUND(E27*0.04,2)</f>
        <v>211547.4</v>
      </c>
      <c r="G27" s="9">
        <f t="shared" ref="G27" si="257">ROUND(E27*0,2)</f>
        <v>0</v>
      </c>
      <c r="H27" s="66">
        <f t="shared" ref="H27" si="258">E27-F27-G27</f>
        <v>5077137.5399999972</v>
      </c>
      <c r="I27" s="9">
        <f t="shared" ref="I27" si="259">ROUND(H27*0,2)</f>
        <v>0</v>
      </c>
      <c r="J27" s="9">
        <f t="shared" ref="J27" si="260">ROUND((I27*0.58)+((I27*0.42)*0.1),2)</f>
        <v>0</v>
      </c>
      <c r="K27" s="9">
        <f t="shared" ref="K27" si="261">ROUND((I27*0.42)*0.9,2)</f>
        <v>0</v>
      </c>
      <c r="L27" s="66">
        <f t="shared" ref="L27" si="262">IF(J27+K27=I27,H27-I27,"ERROR")</f>
        <v>5077137.5399999972</v>
      </c>
      <c r="M27" s="9">
        <f t="shared" ref="M27" si="263">ROUND(L27*0.465,2)</f>
        <v>2360868.96</v>
      </c>
      <c r="N27" s="9">
        <f>ROUND(L27*0.3,2)-0.03</f>
        <v>1523141.23</v>
      </c>
      <c r="O27" s="9">
        <f>ROUND(L27*0.1285,2)+0.01</f>
        <v>652412.18000000005</v>
      </c>
      <c r="P27" s="9">
        <f t="shared" ref="P27" si="264">ROUND((L27*0.07)*0.9,2)</f>
        <v>319859.67</v>
      </c>
      <c r="Q27" s="9">
        <f>ROUND(L27*0.01,2)</f>
        <v>50771.38</v>
      </c>
      <c r="R27" s="9">
        <f t="shared" ref="R27" si="265">ROUND((L27*0.0075)*0.9,2)</f>
        <v>34270.68</v>
      </c>
      <c r="S27" s="9">
        <f t="shared" ref="S27" si="266">ROUND((L27*0.0075)*0.9,2)</f>
        <v>34270.68</v>
      </c>
      <c r="T27" s="9">
        <f>ROUND(L27*0.01,2)</f>
        <v>50771.38</v>
      </c>
      <c r="U27" s="9">
        <f>ROUND(L27*0.01,2)</f>
        <v>50771.38</v>
      </c>
      <c r="V27" s="40">
        <f t="shared" ref="V27" si="267">E27/W27</f>
        <v>3101.8679999999986</v>
      </c>
      <c r="W27" s="10">
        <v>1705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44534</v>
      </c>
      <c r="B28" s="9">
        <v>53766759.960000001</v>
      </c>
      <c r="C28" s="9">
        <v>48485860.340000004</v>
      </c>
      <c r="D28" s="9">
        <v>788877</v>
      </c>
      <c r="E28" s="9">
        <f t="shared" ref="E28" si="268">B28-C28-D28</f>
        <v>4492022.6199999973</v>
      </c>
      <c r="F28" s="9">
        <f>ROUND(E28*0.04,2)+0.01</f>
        <v>179680.91</v>
      </c>
      <c r="G28" s="9">
        <f t="shared" ref="G28" si="269">ROUND(E28*0,2)</f>
        <v>0</v>
      </c>
      <c r="H28" s="66">
        <f t="shared" ref="H28" si="270">E28-F28-G28</f>
        <v>4312341.7099999972</v>
      </c>
      <c r="I28" s="9">
        <f t="shared" ref="I28" si="271">ROUND(H28*0,2)</f>
        <v>0</v>
      </c>
      <c r="J28" s="9">
        <f t="shared" ref="J28" si="272">ROUND((I28*0.58)+((I28*0.42)*0.1),2)</f>
        <v>0</v>
      </c>
      <c r="K28" s="9">
        <f t="shared" ref="K28" si="273">ROUND((I28*0.42)*0.9,2)</f>
        <v>0</v>
      </c>
      <c r="L28" s="66">
        <f t="shared" ref="L28" si="274">IF(J28+K28=I28,H28-I28,"ERROR")</f>
        <v>4312341.7099999972</v>
      </c>
      <c r="M28" s="9">
        <f t="shared" ref="M28" si="275">ROUND(L28*0.465,2)</f>
        <v>2005238.9</v>
      </c>
      <c r="N28" s="9">
        <f>ROUND(L28*0.3,2)-0.01</f>
        <v>1293702.5</v>
      </c>
      <c r="O28" s="9">
        <f>ROUND(L28*0.1285,2)-0.01</f>
        <v>554135.9</v>
      </c>
      <c r="P28" s="9">
        <f t="shared" ref="P28" si="276">ROUND((L28*0.07)*0.9,2)</f>
        <v>271677.53000000003</v>
      </c>
      <c r="Q28" s="9">
        <f>ROUND(L28*0.01,2)</f>
        <v>43123.42</v>
      </c>
      <c r="R28" s="9">
        <f t="shared" ref="R28" si="277">ROUND((L28*0.0075)*0.9,2)</f>
        <v>29108.31</v>
      </c>
      <c r="S28" s="9">
        <f t="shared" ref="S28" si="278">ROUND((L28*0.0075)*0.9,2)</f>
        <v>29108.31</v>
      </c>
      <c r="T28" s="9">
        <f>ROUND(L28*0.01,2)</f>
        <v>43123.42</v>
      </c>
      <c r="U28" s="9">
        <f>ROUND(L28*0.01,2)</f>
        <v>43123.42</v>
      </c>
      <c r="V28" s="40">
        <f t="shared" ref="V28" si="279">E28/W28</f>
        <v>2614.6813853317794</v>
      </c>
      <c r="W28" s="10">
        <v>1718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44541</v>
      </c>
      <c r="B29" s="9">
        <v>51738242.25</v>
      </c>
      <c r="C29" s="9">
        <v>46752744.469999999</v>
      </c>
      <c r="D29" s="9">
        <v>667330</v>
      </c>
      <c r="E29" s="9">
        <f t="shared" ref="E29" si="280">B29-C29-D29</f>
        <v>4318167.7800000012</v>
      </c>
      <c r="F29" s="9">
        <f>ROUND(E29*0.04,2)</f>
        <v>172726.71</v>
      </c>
      <c r="G29" s="9">
        <f t="shared" ref="G29" si="281">ROUND(E29*0,2)</f>
        <v>0</v>
      </c>
      <c r="H29" s="66">
        <f t="shared" ref="H29" si="282">E29-F29-G29</f>
        <v>4145441.0700000012</v>
      </c>
      <c r="I29" s="9">
        <f t="shared" ref="I29" si="283">ROUND(H29*0,2)</f>
        <v>0</v>
      </c>
      <c r="J29" s="9">
        <f t="shared" ref="J29" si="284">ROUND((I29*0.58)+((I29*0.42)*0.1),2)</f>
        <v>0</v>
      </c>
      <c r="K29" s="9">
        <f t="shared" ref="K29" si="285">ROUND((I29*0.42)*0.9,2)</f>
        <v>0</v>
      </c>
      <c r="L29" s="66">
        <f t="shared" ref="L29" si="286">IF(J29+K29=I29,H29-I29,"ERROR")</f>
        <v>4145441.0700000012</v>
      </c>
      <c r="M29" s="9">
        <f t="shared" ref="M29" si="287">ROUND(L29*0.465,2)</f>
        <v>1927630.1</v>
      </c>
      <c r="N29" s="9">
        <f>ROUND(L29*0.3,2)-0.04</f>
        <v>1243632.28</v>
      </c>
      <c r="O29" s="9">
        <f>ROUND(L29*0.1285,2)</f>
        <v>532689.18000000005</v>
      </c>
      <c r="P29" s="9">
        <f t="shared" ref="P29" si="288">ROUND((L29*0.07)*0.9,2)</f>
        <v>261162.79</v>
      </c>
      <c r="Q29" s="9">
        <f>ROUND(L29*0.01,2)+0.01</f>
        <v>41454.420000000006</v>
      </c>
      <c r="R29" s="9">
        <f t="shared" ref="R29" si="289">ROUND((L29*0.0075)*0.9,2)</f>
        <v>27981.73</v>
      </c>
      <c r="S29" s="9">
        <f t="shared" ref="S29" si="290">ROUND((L29*0.0075)*0.9,2)</f>
        <v>27981.73</v>
      </c>
      <c r="T29" s="9">
        <f>ROUND(L29*0.01,2)+0.01</f>
        <v>41454.420000000006</v>
      </c>
      <c r="U29" s="9">
        <f>ROUND(L29*0.01,2)+0.01</f>
        <v>41454.420000000006</v>
      </c>
      <c r="V29" s="40">
        <f t="shared" ref="V29" si="291">E29/W29</f>
        <v>2609.1648217522666</v>
      </c>
      <c r="W29" s="10">
        <v>1655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44548</v>
      </c>
      <c r="B30" s="9">
        <v>52548901.180000007</v>
      </c>
      <c r="C30" s="9">
        <v>47808506.540000007</v>
      </c>
      <c r="D30" s="9">
        <v>684276</v>
      </c>
      <c r="E30" s="9">
        <f t="shared" ref="E30" si="292">B30-C30-D30</f>
        <v>4056118.6400000006</v>
      </c>
      <c r="F30" s="9">
        <f>ROUND(E30*0.04,2)</f>
        <v>162244.75</v>
      </c>
      <c r="G30" s="9">
        <f t="shared" ref="G30" si="293">ROUND(E30*0,2)</f>
        <v>0</v>
      </c>
      <c r="H30" s="66">
        <f t="shared" ref="H30" si="294">E30-F30-G30</f>
        <v>3893873.8900000006</v>
      </c>
      <c r="I30" s="9">
        <f t="shared" ref="I30" si="295">ROUND(H30*0,2)</f>
        <v>0</v>
      </c>
      <c r="J30" s="9">
        <f t="shared" ref="J30" si="296">ROUND((I30*0.58)+((I30*0.42)*0.1),2)</f>
        <v>0</v>
      </c>
      <c r="K30" s="9">
        <f t="shared" ref="K30" si="297">ROUND((I30*0.42)*0.9,2)</f>
        <v>0</v>
      </c>
      <c r="L30" s="66">
        <f t="shared" ref="L30" si="298">IF(J30+K30=I30,H30-I30,"ERROR")</f>
        <v>3893873.8900000006</v>
      </c>
      <c r="M30" s="9">
        <f t="shared" ref="M30" si="299">ROUND(L30*0.465,2)</f>
        <v>1810651.36</v>
      </c>
      <c r="N30" s="9">
        <f>ROUND(L30*0.3,2)</f>
        <v>1168162.17</v>
      </c>
      <c r="O30" s="9">
        <f>ROUND(L30*0.1285,2)-0.01</f>
        <v>500362.77999999997</v>
      </c>
      <c r="P30" s="9">
        <f t="shared" ref="P30" si="300">ROUND((L30*0.07)*0.9,2)</f>
        <v>245314.06</v>
      </c>
      <c r="Q30" s="9">
        <f>ROUND(L30*0.01,2)</f>
        <v>38938.74</v>
      </c>
      <c r="R30" s="9">
        <f t="shared" ref="R30" si="301">ROUND((L30*0.0075)*0.9,2)</f>
        <v>26283.65</v>
      </c>
      <c r="S30" s="9">
        <f t="shared" ref="S30" si="302">ROUND((L30*0.0075)*0.9,2)</f>
        <v>26283.65</v>
      </c>
      <c r="T30" s="9">
        <f>ROUND(L30*0.01,2)</f>
        <v>38938.74</v>
      </c>
      <c r="U30" s="9">
        <f>ROUND(L30*0.01,2)</f>
        <v>38938.74</v>
      </c>
      <c r="V30" s="40">
        <f t="shared" ref="V30" si="303">E30/W30</f>
        <v>2374.7767213114757</v>
      </c>
      <c r="W30" s="10">
        <v>1708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44555</v>
      </c>
      <c r="B31" s="9">
        <v>52860797.960000001</v>
      </c>
      <c r="C31" s="9">
        <v>47643683.530000001</v>
      </c>
      <c r="D31" s="9">
        <v>673658</v>
      </c>
      <c r="E31" s="9">
        <f t="shared" ref="E31" si="304">B31-C31-D31</f>
        <v>4543456.43</v>
      </c>
      <c r="F31" s="9">
        <f>ROUND(E31*0.04,2)</f>
        <v>181738.26</v>
      </c>
      <c r="G31" s="9">
        <f t="shared" ref="G31" si="305">ROUND(E31*0,2)</f>
        <v>0</v>
      </c>
      <c r="H31" s="66">
        <f t="shared" ref="H31" si="306">E31-F31-G31</f>
        <v>4361718.17</v>
      </c>
      <c r="I31" s="9">
        <f t="shared" ref="I31" si="307">ROUND(H31*0,2)</f>
        <v>0</v>
      </c>
      <c r="J31" s="9">
        <f t="shared" ref="J31" si="308">ROUND((I31*0.58)+((I31*0.42)*0.1),2)</f>
        <v>0</v>
      </c>
      <c r="K31" s="9">
        <f t="shared" ref="K31" si="309">ROUND((I31*0.42)*0.9,2)</f>
        <v>0</v>
      </c>
      <c r="L31" s="66">
        <f t="shared" ref="L31" si="310">IF(J31+K31=I31,H31-I31,"ERROR")</f>
        <v>4361718.17</v>
      </c>
      <c r="M31" s="9">
        <f t="shared" ref="M31" si="311">ROUND(L31*0.465,2)</f>
        <v>2028198.95</v>
      </c>
      <c r="N31" s="9">
        <f>ROUND(L31*0.3,2)+0.02</f>
        <v>1308515.47</v>
      </c>
      <c r="O31" s="9">
        <f>ROUND(L31*0.1285,2)-0.01</f>
        <v>560480.77</v>
      </c>
      <c r="P31" s="9">
        <f t="shared" ref="P31" si="312">ROUND((L31*0.07)*0.9,2)</f>
        <v>274788.24</v>
      </c>
      <c r="Q31" s="9">
        <f>ROUND(L31*0.01,2)</f>
        <v>43617.18</v>
      </c>
      <c r="R31" s="9">
        <f t="shared" ref="R31" si="313">ROUND((L31*0.0075)*0.9,2)</f>
        <v>29441.599999999999</v>
      </c>
      <c r="S31" s="9">
        <f t="shared" ref="S31" si="314">ROUND((L31*0.0075)*0.9,2)</f>
        <v>29441.599999999999</v>
      </c>
      <c r="T31" s="9">
        <f>ROUND(L31*0.01,2)</f>
        <v>43617.18</v>
      </c>
      <c r="U31" s="9">
        <f>ROUND(L31*0.01,2)</f>
        <v>43617.18</v>
      </c>
      <c r="V31" s="40">
        <f t="shared" ref="V31" si="315">E31/W31</f>
        <v>2591.8177010838563</v>
      </c>
      <c r="W31" s="10">
        <v>1753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44562</v>
      </c>
      <c r="B32" s="9">
        <v>77071236.199999988</v>
      </c>
      <c r="C32" s="9">
        <v>69654213.680000007</v>
      </c>
      <c r="D32" s="9">
        <v>887631</v>
      </c>
      <c r="E32" s="9">
        <f t="shared" ref="E32" si="316">B32-C32-D32</f>
        <v>6529391.5199999809</v>
      </c>
      <c r="F32" s="9">
        <f>ROUND(E32*0.04,2)</f>
        <v>261175.66</v>
      </c>
      <c r="G32" s="9">
        <f t="shared" ref="G32" si="317">ROUND(E32*0,2)</f>
        <v>0</v>
      </c>
      <c r="H32" s="66">
        <f t="shared" ref="H32" si="318">E32-F32-G32</f>
        <v>6268215.8599999808</v>
      </c>
      <c r="I32" s="9">
        <f t="shared" ref="I32" si="319">ROUND(H32*0,2)</f>
        <v>0</v>
      </c>
      <c r="J32" s="9">
        <f t="shared" ref="J32" si="320">ROUND((I32*0.58)+((I32*0.42)*0.1),2)</f>
        <v>0</v>
      </c>
      <c r="K32" s="9">
        <f t="shared" ref="K32" si="321">ROUND((I32*0.42)*0.9,2)</f>
        <v>0</v>
      </c>
      <c r="L32" s="66">
        <f t="shared" ref="L32" si="322">IF(J32+K32=I32,H32-I32,"ERROR")</f>
        <v>6268215.8599999808</v>
      </c>
      <c r="M32" s="9">
        <f t="shared" ref="M32" si="323">ROUND(L32*0.465,2)</f>
        <v>2914720.37</v>
      </c>
      <c r="N32" s="9">
        <f>ROUND(L32*0.3,2)</f>
        <v>1880464.76</v>
      </c>
      <c r="O32" s="9">
        <f>ROUND(L32*0.1285,2)-0.01</f>
        <v>805465.73</v>
      </c>
      <c r="P32" s="9">
        <f t="shared" ref="P32" si="324">ROUND((L32*0.07)*0.9,2)</f>
        <v>394897.6</v>
      </c>
      <c r="Q32" s="9">
        <f>ROUND(L32*0.01,2)</f>
        <v>62682.16</v>
      </c>
      <c r="R32" s="9">
        <f t="shared" ref="R32" si="325">ROUND((L32*0.0075)*0.9,2)</f>
        <v>42310.46</v>
      </c>
      <c r="S32" s="9">
        <f t="shared" ref="S32" si="326">ROUND((L32*0.0075)*0.9,2)</f>
        <v>42310.46</v>
      </c>
      <c r="T32" s="9">
        <f>ROUND(L32*0.01,2)</f>
        <v>62682.16</v>
      </c>
      <c r="U32" s="9">
        <f>ROUND(L32*0.01,2)</f>
        <v>62682.16</v>
      </c>
      <c r="V32" s="40">
        <f t="shared" ref="V32" si="327">E32/W32</f>
        <v>3707.7748551959007</v>
      </c>
      <c r="W32" s="10">
        <v>1761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44569</v>
      </c>
      <c r="B33" s="9">
        <v>43957247.68</v>
      </c>
      <c r="C33" s="9">
        <v>39478123.939999998</v>
      </c>
      <c r="D33" s="9">
        <v>639942</v>
      </c>
      <c r="E33" s="9">
        <f t="shared" ref="E33" si="328">B33-C33-D33</f>
        <v>3839181.7400000021</v>
      </c>
      <c r="F33" s="9">
        <v>96130.64</v>
      </c>
      <c r="G33" s="9">
        <v>57436.63</v>
      </c>
      <c r="H33" s="66">
        <f t="shared" ref="H33" si="329">E33-F33-G33</f>
        <v>3685614.4700000021</v>
      </c>
      <c r="I33" s="9">
        <f t="shared" ref="I33" si="330">ROUND(H33*0,2)</f>
        <v>0</v>
      </c>
      <c r="J33" s="9">
        <f t="shared" ref="J33" si="331">ROUND((I33*0.58)+((I33*0.42)*0.1),2)</f>
        <v>0</v>
      </c>
      <c r="K33" s="9">
        <f t="shared" ref="K33" si="332">ROUND((I33*0.42)*0.9,2)</f>
        <v>0</v>
      </c>
      <c r="L33" s="66">
        <f t="shared" ref="L33" si="333">IF(J33+K33=I33,H33-I33,"ERROR")</f>
        <v>3685614.4700000021</v>
      </c>
      <c r="M33" s="9">
        <f t="shared" ref="M33" si="334">ROUND(L33*0.465,2)</f>
        <v>1713810.73</v>
      </c>
      <c r="N33" s="9">
        <f>ROUND(L33*0.3,2)+0.03</f>
        <v>1105684.3700000001</v>
      </c>
      <c r="O33" s="9">
        <f>ROUND(L33*0.1285,2)-0.02</f>
        <v>473601.44</v>
      </c>
      <c r="P33" s="9">
        <f t="shared" ref="P33" si="335">ROUND((L33*0.07)*0.9,2)</f>
        <v>232193.71</v>
      </c>
      <c r="Q33" s="9">
        <f>ROUND(L33*0.01,2)</f>
        <v>36856.14</v>
      </c>
      <c r="R33" s="9">
        <f t="shared" ref="R33" si="336">ROUND((L33*0.0075)*0.9,2)</f>
        <v>24877.9</v>
      </c>
      <c r="S33" s="9">
        <f t="shared" ref="S33" si="337">ROUND((L33*0.0075)*0.9,2)</f>
        <v>24877.9</v>
      </c>
      <c r="T33" s="9">
        <f>ROUND(L33*0.01,2)</f>
        <v>36856.14</v>
      </c>
      <c r="U33" s="9">
        <f>ROUND(L33*0.01,2)</f>
        <v>36856.14</v>
      </c>
      <c r="V33" s="40">
        <f t="shared" ref="V33" si="338">E33/W33</f>
        <v>2180.1145599091437</v>
      </c>
      <c r="W33" s="10">
        <v>1761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44576</v>
      </c>
      <c r="B34" s="9">
        <v>48559754.340000004</v>
      </c>
      <c r="C34" s="9">
        <v>43692460.269999996</v>
      </c>
      <c r="D34" s="9">
        <v>714846</v>
      </c>
      <c r="E34" s="9">
        <f t="shared" ref="E34" si="339">B34-C34-D34</f>
        <v>4152448.0700000077</v>
      </c>
      <c r="F34" s="9">
        <f t="shared" ref="F34:F39" si="340">ROUND(E34*0,2)</f>
        <v>0</v>
      </c>
      <c r="G34" s="9">
        <f>ROUND(E34*0.04,2)+0.01</f>
        <v>166097.93000000002</v>
      </c>
      <c r="H34" s="66">
        <f t="shared" ref="H34" si="341">E34-F34-G34</f>
        <v>3986350.1400000076</v>
      </c>
      <c r="I34" s="9">
        <v>135388.64000000001</v>
      </c>
      <c r="J34" s="9">
        <f t="shared" ref="J34" si="342">ROUND((I34*0.58)+((I34*0.42)*0.1),2)</f>
        <v>84211.73</v>
      </c>
      <c r="K34" s="9">
        <f t="shared" ref="K34" si="343">ROUND((I34*0.42)*0.9,2)</f>
        <v>51176.91</v>
      </c>
      <c r="L34" s="66">
        <f t="shared" ref="L34" si="344">IF(J34+K34=I34,H34-I34,"ERROR")</f>
        <v>3850961.5000000075</v>
      </c>
      <c r="M34" s="9">
        <v>1735864.69</v>
      </c>
      <c r="N34" s="9">
        <v>789739.1</v>
      </c>
      <c r="O34" s="9">
        <v>954222.23</v>
      </c>
      <c r="P34" s="9">
        <v>209711.13</v>
      </c>
      <c r="Q34" s="9">
        <v>32417.13</v>
      </c>
      <c r="R34" s="9">
        <f t="shared" ref="R34" si="345">ROUND((L34*0.0075)*0.9,2)</f>
        <v>25993.99</v>
      </c>
      <c r="S34" s="9">
        <f t="shared" ref="S34" si="346">ROUND((L34*0.0075)*0.9,2)</f>
        <v>25993.99</v>
      </c>
      <c r="T34" s="9">
        <f>ROUND(L34*0.01,2)</f>
        <v>38509.620000000003</v>
      </c>
      <c r="U34" s="9">
        <f>ROUND(L34*0.01,2)</f>
        <v>38509.620000000003</v>
      </c>
      <c r="V34" s="40">
        <f t="shared" ref="V34" si="347">E34/W34</f>
        <v>2383.7244948335292</v>
      </c>
      <c r="W34" s="10">
        <v>1742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44583</v>
      </c>
      <c r="B35" s="9">
        <v>46867021.880000003</v>
      </c>
      <c r="C35" s="9">
        <v>42492784.730000004</v>
      </c>
      <c r="D35" s="9">
        <v>637449</v>
      </c>
      <c r="E35" s="9">
        <f t="shared" ref="E35" si="348">B35-C35-D35</f>
        <v>3736788.1499999985</v>
      </c>
      <c r="F35" s="9">
        <f t="shared" si="340"/>
        <v>0</v>
      </c>
      <c r="G35" s="9">
        <f>ROUND(E35*0.04,2)</f>
        <v>149471.53</v>
      </c>
      <c r="H35" s="66">
        <f t="shared" ref="H35" si="349">E35-F35-G35</f>
        <v>3587316.6199999987</v>
      </c>
      <c r="I35" s="9">
        <f>ROUND(H35*0.1,2)+0.01</f>
        <v>358731.67</v>
      </c>
      <c r="J35" s="9">
        <f t="shared" ref="J35" si="350">ROUND((I35*0.58)+((I35*0.42)*0.1),2)</f>
        <v>223131.1</v>
      </c>
      <c r="K35" s="9">
        <f t="shared" ref="K35" si="351">ROUND((I35*0.42)*0.9,2)</f>
        <v>135600.57</v>
      </c>
      <c r="L35" s="66">
        <f t="shared" ref="L35" si="352">IF(J35+K35=I35,H35-I35,"ERROR")</f>
        <v>3228584.9499999988</v>
      </c>
      <c r="M35" s="9">
        <f t="shared" ref="M35:M41" si="353">ROUND(L35*0.42,2)</f>
        <v>1356005.68</v>
      </c>
      <c r="N35" s="9">
        <f t="shared" ref="N35:N40" si="354">ROUND(L35*0,2)</f>
        <v>0</v>
      </c>
      <c r="O35" s="9">
        <f>ROUND((L35*0.0955)+(L35*0.41),2)+0.02</f>
        <v>1632049.71</v>
      </c>
      <c r="P35" s="9">
        <f t="shared" ref="P35:P40" si="355">ROUND((L35*0.04)*0.9,2)</f>
        <v>116229.06</v>
      </c>
      <c r="Q35" s="9">
        <f t="shared" ref="Q35:Q40" si="356">ROUND(L35*0.005,2)</f>
        <v>16142.92</v>
      </c>
      <c r="R35" s="9">
        <f t="shared" ref="R35" si="357">ROUND((L35*0.0075)*0.9,2)</f>
        <v>21792.95</v>
      </c>
      <c r="S35" s="9">
        <f t="shared" ref="S35" si="358">ROUND((L35*0.0075)*0.9,2)</f>
        <v>21792.95</v>
      </c>
      <c r="T35" s="9">
        <f>ROUND(L35*0.01,2)-0.01</f>
        <v>32285.84</v>
      </c>
      <c r="U35" s="9">
        <f>ROUND(L35*0.01,2)-0.01</f>
        <v>32285.84</v>
      </c>
      <c r="V35" s="40">
        <f t="shared" ref="V35" si="359">E35/W35</f>
        <v>2271.6037386018229</v>
      </c>
      <c r="W35" s="10">
        <v>1645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44590</v>
      </c>
      <c r="B36" s="9">
        <v>50198539.619999997</v>
      </c>
      <c r="C36" s="9">
        <v>45280411.719999999</v>
      </c>
      <c r="D36" s="9">
        <v>687799</v>
      </c>
      <c r="E36" s="9">
        <f t="shared" ref="E36" si="360">B36-C36-D36</f>
        <v>4230328.8999999985</v>
      </c>
      <c r="F36" s="9">
        <f t="shared" si="340"/>
        <v>0</v>
      </c>
      <c r="G36" s="9">
        <f>ROUND(E36*0.04,2)-0.01</f>
        <v>169213.15</v>
      </c>
      <c r="H36" s="66">
        <f t="shared" ref="H36" si="361">E36-F36-G36</f>
        <v>4061115.7499999986</v>
      </c>
      <c r="I36" s="9">
        <f>ROUND(H36*0.1,2)</f>
        <v>406111.58</v>
      </c>
      <c r="J36" s="9">
        <f t="shared" ref="J36" si="362">ROUND((I36*0.58)+((I36*0.42)*0.1),2)</f>
        <v>252601.4</v>
      </c>
      <c r="K36" s="9">
        <f t="shared" ref="K36" si="363">ROUND((I36*0.42)*0.9,2)</f>
        <v>153510.18</v>
      </c>
      <c r="L36" s="66">
        <f t="shared" ref="L36" si="364">IF(J36+K36=I36,H36-I36,"ERROR")</f>
        <v>3655004.1699999985</v>
      </c>
      <c r="M36" s="9">
        <f t="shared" si="353"/>
        <v>1535101.75</v>
      </c>
      <c r="N36" s="9">
        <f t="shared" si="354"/>
        <v>0</v>
      </c>
      <c r="O36" s="9">
        <f>ROUND((L36*0.0955)+(L36*0.41),2)</f>
        <v>1847604.61</v>
      </c>
      <c r="P36" s="9">
        <f t="shared" si="355"/>
        <v>131580.15</v>
      </c>
      <c r="Q36" s="9">
        <f t="shared" si="356"/>
        <v>18275.02</v>
      </c>
      <c r="R36" s="9">
        <f t="shared" ref="R36" si="365">ROUND((L36*0.0075)*0.9,2)</f>
        <v>24671.279999999999</v>
      </c>
      <c r="S36" s="9">
        <f t="shared" ref="S36" si="366">ROUND((L36*0.0075)*0.9,2)</f>
        <v>24671.279999999999</v>
      </c>
      <c r="T36" s="9">
        <f>ROUND(L36*0.01,2)</f>
        <v>36550.04</v>
      </c>
      <c r="U36" s="9">
        <f>ROUND(L36*0.01,2)</f>
        <v>36550.04</v>
      </c>
      <c r="V36" s="40">
        <f t="shared" ref="V36" si="367">E36/W36</f>
        <v>2515.0587990487506</v>
      </c>
      <c r="W36" s="10">
        <v>1682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44597</v>
      </c>
      <c r="B37" s="9">
        <v>54857740.210000001</v>
      </c>
      <c r="C37" s="9">
        <v>49460154.409999996</v>
      </c>
      <c r="D37" s="9">
        <v>735263</v>
      </c>
      <c r="E37" s="9">
        <f t="shared" ref="E37" si="368">B37-C37-D37</f>
        <v>4662322.8000000045</v>
      </c>
      <c r="F37" s="9">
        <f t="shared" si="340"/>
        <v>0</v>
      </c>
      <c r="G37" s="9">
        <f>ROUND(E37*0.04,2)</f>
        <v>186492.91</v>
      </c>
      <c r="H37" s="66">
        <f t="shared" ref="H37" si="369">E37-F37-G37</f>
        <v>4475829.8900000043</v>
      </c>
      <c r="I37" s="9">
        <f>ROUND(H37*0.1,2)+0.01</f>
        <v>447583</v>
      </c>
      <c r="J37" s="9">
        <f t="shared" ref="J37" si="370">ROUND((I37*0.58)+((I37*0.42)*0.1),2)</f>
        <v>278396.63</v>
      </c>
      <c r="K37" s="9">
        <f t="shared" ref="K37" si="371">ROUND((I37*0.42)*0.9,2)</f>
        <v>169186.37</v>
      </c>
      <c r="L37" s="66">
        <f t="shared" ref="L37" si="372">IF(J37+K37=I37,H37-I37,"ERROR")</f>
        <v>4028246.8900000043</v>
      </c>
      <c r="M37" s="9">
        <f t="shared" si="353"/>
        <v>1691863.69</v>
      </c>
      <c r="N37" s="9">
        <f t="shared" si="354"/>
        <v>0</v>
      </c>
      <c r="O37" s="9">
        <f>ROUND((L37*0.0955)+(L37*0.41),2)+0.02</f>
        <v>2036278.82</v>
      </c>
      <c r="P37" s="9">
        <f t="shared" si="355"/>
        <v>145016.89000000001</v>
      </c>
      <c r="Q37" s="9">
        <f t="shared" si="356"/>
        <v>20141.23</v>
      </c>
      <c r="R37" s="9">
        <f t="shared" ref="R37" si="373">ROUND((L37*0.0075)*0.9,2)</f>
        <v>27190.67</v>
      </c>
      <c r="S37" s="9">
        <f t="shared" ref="S37" si="374">ROUND((L37*0.0075)*0.9,2)</f>
        <v>27190.67</v>
      </c>
      <c r="T37" s="9">
        <f>ROUND(L37*0.01,2)-0.01</f>
        <v>40282.46</v>
      </c>
      <c r="U37" s="9">
        <f>ROUND(L37*0.01,2)-0.01</f>
        <v>40282.46</v>
      </c>
      <c r="V37" s="40">
        <f t="shared" ref="V37" si="375">E37/W37</f>
        <v>2820.5219600725982</v>
      </c>
      <c r="W37" s="10">
        <v>1653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44604</v>
      </c>
      <c r="B38" s="9">
        <v>58033220.61999999</v>
      </c>
      <c r="C38" s="9">
        <v>52246037.519999996</v>
      </c>
      <c r="D38" s="9">
        <v>725262</v>
      </c>
      <c r="E38" s="9">
        <f t="shared" ref="E38" si="376">B38-C38-D38</f>
        <v>5061921.099999994</v>
      </c>
      <c r="F38" s="9">
        <f t="shared" si="340"/>
        <v>0</v>
      </c>
      <c r="G38" s="9">
        <f>ROUND(E38*0.04,2)-0.01</f>
        <v>202476.83</v>
      </c>
      <c r="H38" s="66">
        <f t="shared" ref="H38" si="377">E38-F38-G38</f>
        <v>4859444.269999994</v>
      </c>
      <c r="I38" s="9">
        <f>ROUND(H38*0.1,2)</f>
        <v>485944.43</v>
      </c>
      <c r="J38" s="9">
        <f t="shared" ref="J38" si="378">ROUND((I38*0.58)+((I38*0.42)*0.1),2)</f>
        <v>302257.44</v>
      </c>
      <c r="K38" s="9">
        <f t="shared" ref="K38" si="379">ROUND((I38*0.42)*0.9,2)</f>
        <v>183686.99</v>
      </c>
      <c r="L38" s="66">
        <f t="shared" ref="L38" si="380">IF(J38+K38=I38,H38-I38,"ERROR")</f>
        <v>4373499.8399999943</v>
      </c>
      <c r="M38" s="9">
        <f t="shared" si="353"/>
        <v>1836869.93</v>
      </c>
      <c r="N38" s="9">
        <f t="shared" si="354"/>
        <v>0</v>
      </c>
      <c r="O38" s="9">
        <f>ROUND((L38*0.0955)+(L38*0.41),2)+0.01</f>
        <v>2210804.1799999997</v>
      </c>
      <c r="P38" s="9">
        <f t="shared" si="355"/>
        <v>157445.99</v>
      </c>
      <c r="Q38" s="9">
        <f t="shared" si="356"/>
        <v>21867.5</v>
      </c>
      <c r="R38" s="9">
        <f t="shared" ref="R38" si="381">ROUND((L38*0.0075)*0.9,2)</f>
        <v>29521.119999999999</v>
      </c>
      <c r="S38" s="9">
        <f t="shared" ref="S38" si="382">ROUND((L38*0.0075)*0.9,2)</f>
        <v>29521.119999999999</v>
      </c>
      <c r="T38" s="9">
        <f>ROUND(L38*0.01,2)</f>
        <v>43735</v>
      </c>
      <c r="U38" s="9">
        <f>ROUND(L38*0.01,2)</f>
        <v>43735</v>
      </c>
      <c r="V38" s="40">
        <f t="shared" ref="V38" si="383">E38/W38</f>
        <v>3207.8080481622269</v>
      </c>
      <c r="W38" s="10">
        <v>1578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44611</v>
      </c>
      <c r="B39" s="9">
        <v>59876739.780000001</v>
      </c>
      <c r="C39" s="9">
        <v>53803017.899999999</v>
      </c>
      <c r="D39" s="9">
        <v>792325</v>
      </c>
      <c r="E39" s="9">
        <f t="shared" ref="E39" si="384">B39-C39-D39</f>
        <v>5281396.8800000027</v>
      </c>
      <c r="F39" s="9">
        <f t="shared" si="340"/>
        <v>0</v>
      </c>
      <c r="G39" s="9">
        <f>ROUND(E39*0.04,2)</f>
        <v>211255.88</v>
      </c>
      <c r="H39" s="66">
        <f t="shared" ref="H39" si="385">E39-F39-G39</f>
        <v>5070141.0000000028</v>
      </c>
      <c r="I39" s="9">
        <f>ROUND(H39*0.1,2)</f>
        <v>507014.1</v>
      </c>
      <c r="J39" s="9">
        <f t="shared" ref="J39" si="386">ROUND((I39*0.58)+((I39*0.42)*0.1),2)</f>
        <v>315362.77</v>
      </c>
      <c r="K39" s="9">
        <f t="shared" ref="K39" si="387">ROUND((I39*0.42)*0.9,2)</f>
        <v>191651.33</v>
      </c>
      <c r="L39" s="66">
        <f t="shared" ref="L39" si="388">IF(J39+K39=I39,H39-I39,"ERROR")</f>
        <v>4563126.9000000032</v>
      </c>
      <c r="M39" s="9">
        <f t="shared" si="353"/>
        <v>1916513.3</v>
      </c>
      <c r="N39" s="9">
        <f t="shared" si="354"/>
        <v>0</v>
      </c>
      <c r="O39" s="9">
        <f>ROUND((L39*0.0955)+(L39*0.41),2)+0.01</f>
        <v>2306660.6599999997</v>
      </c>
      <c r="P39" s="9">
        <f t="shared" si="355"/>
        <v>164272.57</v>
      </c>
      <c r="Q39" s="9">
        <f t="shared" si="356"/>
        <v>22815.63</v>
      </c>
      <c r="R39" s="9">
        <f t="shared" ref="R39" si="389">ROUND((L39*0.0075)*0.9,2)</f>
        <v>30801.11</v>
      </c>
      <c r="S39" s="9">
        <f t="shared" ref="S39" si="390">ROUND((L39*0.0075)*0.9,2)</f>
        <v>30801.11</v>
      </c>
      <c r="T39" s="9">
        <f>ROUND(L39*0.01,2)-0.01</f>
        <v>45631.259999999995</v>
      </c>
      <c r="U39" s="9">
        <f>ROUND(L39*0.01,2)-0.01</f>
        <v>45631.259999999995</v>
      </c>
      <c r="V39" s="40">
        <f t="shared" ref="V39" si="391">E39/W39</f>
        <v>3294.6954959451045</v>
      </c>
      <c r="W39" s="10">
        <v>1603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44618</v>
      </c>
      <c r="B40" s="9">
        <v>64856299.530000001</v>
      </c>
      <c r="C40" s="9">
        <v>58377801.93999999</v>
      </c>
      <c r="D40" s="9">
        <v>801333</v>
      </c>
      <c r="E40" s="9">
        <f t="shared" ref="E40" si="392">B40-C40-D40</f>
        <v>5677164.590000011</v>
      </c>
      <c r="F40" s="9">
        <f t="shared" ref="F40" si="393">ROUND(E40*0,2)</f>
        <v>0</v>
      </c>
      <c r="G40" s="9">
        <f>ROUND(E40*0.04,2)+0.01</f>
        <v>227086.59</v>
      </c>
      <c r="H40" s="66">
        <f t="shared" ref="H40" si="394">E40-F40-G40</f>
        <v>5450078.0000000112</v>
      </c>
      <c r="I40" s="9">
        <f>ROUND(H40*0.1,2)+0.01</f>
        <v>545007.81000000006</v>
      </c>
      <c r="J40" s="9">
        <f t="shared" ref="J40" si="395">ROUND((I40*0.58)+((I40*0.42)*0.1),2)</f>
        <v>338994.86</v>
      </c>
      <c r="K40" s="9">
        <f t="shared" ref="K40" si="396">ROUND((I40*0.42)*0.9,2)</f>
        <v>206012.95</v>
      </c>
      <c r="L40" s="66">
        <f t="shared" ref="L40" si="397">IF(J40+K40=I40,H40-I40,"ERROR")</f>
        <v>4905070.1900000107</v>
      </c>
      <c r="M40" s="9">
        <f t="shared" si="353"/>
        <v>2060129.48</v>
      </c>
      <c r="N40" s="9">
        <f t="shared" si="354"/>
        <v>0</v>
      </c>
      <c r="O40" s="9">
        <f>ROUND((L40*0.0955)+(L40*0.41),2)+0.01</f>
        <v>2479512.9899999998</v>
      </c>
      <c r="P40" s="9">
        <f t="shared" si="355"/>
        <v>176582.53</v>
      </c>
      <c r="Q40" s="9">
        <f t="shared" si="356"/>
        <v>24525.35</v>
      </c>
      <c r="R40" s="9">
        <f t="shared" ref="R40" si="398">ROUND((L40*0.0075)*0.9,2)</f>
        <v>33109.22</v>
      </c>
      <c r="S40" s="9">
        <f t="shared" ref="S40" si="399">ROUND((L40*0.0075)*0.9,2)</f>
        <v>33109.22</v>
      </c>
      <c r="T40" s="9">
        <f>ROUND(L40*0.01,2)</f>
        <v>49050.7</v>
      </c>
      <c r="U40" s="9">
        <f>ROUND(L40*0.01,2)</f>
        <v>49050.7</v>
      </c>
      <c r="V40" s="40">
        <f t="shared" ref="V40" si="400">E40/W40</f>
        <v>3537.1741993769538</v>
      </c>
      <c r="W40" s="10">
        <v>1605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Mountaineer!A41</f>
        <v>44625</v>
      </c>
      <c r="B41" s="9">
        <v>61951636.669999994</v>
      </c>
      <c r="C41" s="9">
        <v>55690357.100000001</v>
      </c>
      <c r="D41" s="9">
        <v>844271</v>
      </c>
      <c r="E41" s="9">
        <f t="shared" ref="E41" si="401">B41-C41-D41</f>
        <v>5417008.5699999928</v>
      </c>
      <c r="F41" s="9">
        <f t="shared" ref="F41" si="402">ROUND(E41*0,2)</f>
        <v>0</v>
      </c>
      <c r="G41" s="9">
        <f>ROUND(E41*0.04,2)</f>
        <v>216680.34</v>
      </c>
      <c r="H41" s="66">
        <f t="shared" ref="H41" si="403">E41-F41-G41</f>
        <v>5200328.229999993</v>
      </c>
      <c r="I41" s="9">
        <f>ROUND(H41*0.1,2)</f>
        <v>520032.82</v>
      </c>
      <c r="J41" s="9">
        <f t="shared" ref="J41" si="404">ROUND((I41*0.58)+((I41*0.42)*0.1),2)</f>
        <v>323460.40999999997</v>
      </c>
      <c r="K41" s="9">
        <f t="shared" ref="K41" si="405">ROUND((I41*0.42)*0.9,2)</f>
        <v>196572.41</v>
      </c>
      <c r="L41" s="66">
        <f t="shared" ref="L41" si="406">IF(J41+K41=I41,H41-I41,"ERROR")</f>
        <v>4680295.4099999927</v>
      </c>
      <c r="M41" s="9">
        <f t="shared" si="353"/>
        <v>1965724.07</v>
      </c>
      <c r="N41" s="9">
        <f t="shared" ref="N41" si="407">ROUND(L41*0,2)</f>
        <v>0</v>
      </c>
      <c r="O41" s="9">
        <f>ROUND((L41*0.0955)+(L41*0.41),2)</f>
        <v>2365889.33</v>
      </c>
      <c r="P41" s="9">
        <f t="shared" ref="P41" si="408">ROUND((L41*0.04)*0.9,2)</f>
        <v>168490.63</v>
      </c>
      <c r="Q41" s="9">
        <f t="shared" ref="Q41" si="409">ROUND(L41*0.005,2)</f>
        <v>23401.48</v>
      </c>
      <c r="R41" s="9">
        <f t="shared" ref="R41" si="410">ROUND((L41*0.0075)*0.9,2)</f>
        <v>31591.99</v>
      </c>
      <c r="S41" s="9">
        <f t="shared" ref="S41" si="411">ROUND((L41*0.0075)*0.9,2)</f>
        <v>31591.99</v>
      </c>
      <c r="T41" s="9">
        <f>ROUND(L41*0.01,2)+0.01</f>
        <v>46802.96</v>
      </c>
      <c r="U41" s="9">
        <f>ROUND(L41*0.01,2)+0.01</f>
        <v>46802.96</v>
      </c>
      <c r="V41" s="40">
        <f t="shared" ref="V41" si="412">E41/W41</f>
        <v>3277.0771748336315</v>
      </c>
      <c r="W41" s="10">
        <v>1653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Mountaineer!A42</f>
        <v>44632</v>
      </c>
      <c r="B42" s="9">
        <v>54932691.390000001</v>
      </c>
      <c r="C42" s="9">
        <v>49341636.32</v>
      </c>
      <c r="D42" s="9">
        <v>726882</v>
      </c>
      <c r="E42" s="9">
        <f t="shared" ref="E42" si="413">B42-C42-D42</f>
        <v>4864173.07</v>
      </c>
      <c r="F42" s="9">
        <f t="shared" ref="F42" si="414">ROUND(E42*0,2)</f>
        <v>0</v>
      </c>
      <c r="G42" s="9">
        <f>ROUND(E42*0.04,2)+0.01</f>
        <v>194566.93000000002</v>
      </c>
      <c r="H42" s="66">
        <f t="shared" ref="H42" si="415">E42-F42-G42</f>
        <v>4669606.1400000006</v>
      </c>
      <c r="I42" s="9">
        <f>ROUND(H42*0.1,2)</f>
        <v>466960.61</v>
      </c>
      <c r="J42" s="9">
        <f t="shared" ref="J42" si="416">ROUND((I42*0.58)+((I42*0.42)*0.1),2)</f>
        <v>290449.5</v>
      </c>
      <c r="K42" s="9">
        <f t="shared" ref="K42" si="417">ROUND((I42*0.42)*0.9,2)</f>
        <v>176511.11</v>
      </c>
      <c r="L42" s="66">
        <f t="shared" ref="L42" si="418">IF(J42+K42=I42,H42-I42,"ERROR")</f>
        <v>4202645.53</v>
      </c>
      <c r="M42" s="9">
        <f t="shared" ref="M42" si="419">ROUND(L42*0.42,2)</f>
        <v>1765111.12</v>
      </c>
      <c r="N42" s="9">
        <f t="shared" ref="N42" si="420">ROUND(L42*0,2)</f>
        <v>0</v>
      </c>
      <c r="O42" s="9">
        <f>ROUND((L42*0.0955)+(L42*0.41),2)-0.02</f>
        <v>2124437.2999999998</v>
      </c>
      <c r="P42" s="9">
        <f t="shared" ref="P42" si="421">ROUND((L42*0.04)*0.9,2)</f>
        <v>151295.24</v>
      </c>
      <c r="Q42" s="9">
        <f t="shared" ref="Q42" si="422">ROUND(L42*0.005,2)</f>
        <v>21013.23</v>
      </c>
      <c r="R42" s="9">
        <f t="shared" ref="R42" si="423">ROUND((L42*0.0075)*0.9,2)</f>
        <v>28367.86</v>
      </c>
      <c r="S42" s="9">
        <f t="shared" ref="S42" si="424">ROUND((L42*0.0075)*0.9,2)</f>
        <v>28367.86</v>
      </c>
      <c r="T42" s="9">
        <f>ROUND(L42*0.01,2)</f>
        <v>42026.46</v>
      </c>
      <c r="U42" s="9">
        <f>ROUND(L42*0.01,2)</f>
        <v>42026.46</v>
      </c>
      <c r="V42" s="40">
        <f t="shared" ref="V42" si="425">E42/W42</f>
        <v>3040.10816875</v>
      </c>
      <c r="W42" s="10">
        <v>1600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Mountaineer!A43</f>
        <v>44639</v>
      </c>
      <c r="B43" s="9">
        <v>63324427.359999999</v>
      </c>
      <c r="C43" s="9">
        <v>56852230.359999999</v>
      </c>
      <c r="D43" s="9">
        <v>775731</v>
      </c>
      <c r="E43" s="9">
        <f t="shared" ref="E43" si="426">B43-C43-D43</f>
        <v>5696466</v>
      </c>
      <c r="F43" s="9">
        <f t="shared" ref="F43" si="427">ROUND(E43*0,2)</f>
        <v>0</v>
      </c>
      <c r="G43" s="9">
        <f>ROUND(E43*0.04,2)-0.01</f>
        <v>227858.63</v>
      </c>
      <c r="H43" s="66">
        <f t="shared" ref="H43" si="428">E43-F43-G43</f>
        <v>5468607.3700000001</v>
      </c>
      <c r="I43" s="9">
        <f>ROUND(H43*0.1,2)-0.01</f>
        <v>546860.73</v>
      </c>
      <c r="J43" s="9">
        <f t="shared" ref="J43" si="429">ROUND((I43*0.58)+((I43*0.42)*0.1),2)</f>
        <v>340147.37</v>
      </c>
      <c r="K43" s="9">
        <f t="shared" ref="K43" si="430">ROUND((I43*0.42)*0.9,2)</f>
        <v>206713.36</v>
      </c>
      <c r="L43" s="66">
        <f t="shared" ref="L43:L48" si="431">IF(J43+K43=I43,H43-I43,"ERROR")</f>
        <v>4921746.6400000006</v>
      </c>
      <c r="M43" s="9">
        <f t="shared" ref="M43" si="432">ROUND(L43*0.42,2)</f>
        <v>2067133.59</v>
      </c>
      <c r="N43" s="9">
        <f t="shared" ref="N43" si="433">ROUND(L43*0,2)</f>
        <v>0</v>
      </c>
      <c r="O43" s="9">
        <f>ROUND((L43*0.0955)+(L43*0.41),2)+0.01</f>
        <v>2487942.94</v>
      </c>
      <c r="P43" s="9">
        <f t="shared" ref="P43" si="434">ROUND((L43*0.04)*0.9,2)</f>
        <v>177182.88</v>
      </c>
      <c r="Q43" s="9">
        <f t="shared" ref="Q43" si="435">ROUND(L43*0.005,2)</f>
        <v>24608.73</v>
      </c>
      <c r="R43" s="9">
        <f t="shared" ref="R43" si="436">ROUND((L43*0.0075)*0.9,2)</f>
        <v>33221.79</v>
      </c>
      <c r="S43" s="9">
        <f t="shared" ref="S43" si="437">ROUND((L43*0.0075)*0.9,2)</f>
        <v>33221.79</v>
      </c>
      <c r="T43" s="9">
        <f>ROUND(L43*0.01,2)-0.01</f>
        <v>49217.46</v>
      </c>
      <c r="U43" s="9">
        <f>ROUND(L43*0.01,2)-0.01</f>
        <v>49217.46</v>
      </c>
      <c r="V43" s="40">
        <f t="shared" ref="V43" si="438">E43/W43</f>
        <v>3309.9744334689135</v>
      </c>
      <c r="W43" s="10">
        <v>1721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Mountaineer!A44</f>
        <v>44646</v>
      </c>
      <c r="B44" s="9">
        <v>64229728.909999996</v>
      </c>
      <c r="C44" s="9">
        <v>57693252.420000002</v>
      </c>
      <c r="D44" s="9">
        <v>856582</v>
      </c>
      <c r="E44" s="9">
        <f t="shared" ref="E44" si="439">B44-C44-D44</f>
        <v>5679894.4899999946</v>
      </c>
      <c r="F44" s="9">
        <f t="shared" ref="F44" si="440">ROUND(E44*0,2)</f>
        <v>0</v>
      </c>
      <c r="G44" s="9">
        <f>ROUND(E44*0.04,2)</f>
        <v>227195.78</v>
      </c>
      <c r="H44" s="66">
        <f t="shared" ref="H44" si="441">E44-F44-G44</f>
        <v>5452698.7099999944</v>
      </c>
      <c r="I44" s="9">
        <f>ROUND(H44*0.1,2)+0.01</f>
        <v>545269.88</v>
      </c>
      <c r="J44" s="9">
        <f t="shared" ref="J44" si="442">ROUND((I44*0.58)+((I44*0.42)*0.1),2)</f>
        <v>339157.87</v>
      </c>
      <c r="K44" s="9">
        <f t="shared" ref="K44" si="443">ROUND((I44*0.42)*0.9,2)</f>
        <v>206112.01</v>
      </c>
      <c r="L44" s="66">
        <f t="shared" si="431"/>
        <v>4907428.8299999945</v>
      </c>
      <c r="M44" s="9">
        <f t="shared" ref="M44" si="444">ROUND(L44*0.42,2)</f>
        <v>2061120.11</v>
      </c>
      <c r="N44" s="9">
        <f t="shared" ref="N44" si="445">ROUND(L44*0,2)</f>
        <v>0</v>
      </c>
      <c r="O44" s="9">
        <f>ROUND((L44*0.0955)+(L44*0.41),2)+0.03</f>
        <v>2480705.2999999998</v>
      </c>
      <c r="P44" s="9">
        <f t="shared" ref="P44" si="446">ROUND((L44*0.04)*0.9,2)</f>
        <v>176667.44</v>
      </c>
      <c r="Q44" s="9">
        <f t="shared" ref="Q44" si="447">ROUND(L44*0.005,2)</f>
        <v>24537.14</v>
      </c>
      <c r="R44" s="9">
        <f t="shared" ref="R44" si="448">ROUND((L44*0.0075)*0.9,2)</f>
        <v>33125.14</v>
      </c>
      <c r="S44" s="9">
        <f t="shared" ref="S44" si="449">ROUND((L44*0.0075)*0.9,2)</f>
        <v>33125.14</v>
      </c>
      <c r="T44" s="9">
        <f>ROUND(L44*0.01,2)-0.01</f>
        <v>49074.28</v>
      </c>
      <c r="U44" s="9">
        <f>ROUND(L44*0.01,2)-0.01</f>
        <v>49074.28</v>
      </c>
      <c r="V44" s="40">
        <f t="shared" ref="V44" si="450">E44/W44</f>
        <v>3308.0340652300492</v>
      </c>
      <c r="W44" s="10">
        <v>1717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Mountaineer!A45</f>
        <v>44653</v>
      </c>
      <c r="B45" s="9">
        <v>61816001.620000005</v>
      </c>
      <c r="C45" s="9">
        <v>55806400.120000005</v>
      </c>
      <c r="D45" s="9">
        <v>870454</v>
      </c>
      <c r="E45" s="9">
        <f t="shared" ref="E45" si="451">B45-C45-D45</f>
        <v>5139147.5</v>
      </c>
      <c r="F45" s="9">
        <f t="shared" ref="F45" si="452">ROUND(E45*0,2)</f>
        <v>0</v>
      </c>
      <c r="G45" s="9">
        <f>ROUND(E45*0.04,2)-0.01</f>
        <v>205565.88999999998</v>
      </c>
      <c r="H45" s="66">
        <f t="shared" ref="H45" si="453">E45-F45-G45</f>
        <v>4933581.6100000003</v>
      </c>
      <c r="I45" s="9">
        <f>ROUND(H45*0.1,2)</f>
        <v>493358.16</v>
      </c>
      <c r="J45" s="9">
        <f t="shared" ref="J45" si="454">ROUND((I45*0.58)+((I45*0.42)*0.1),2)</f>
        <v>306868.78000000003</v>
      </c>
      <c r="K45" s="9">
        <f t="shared" ref="K45" si="455">ROUND((I45*0.42)*0.9,2)</f>
        <v>186489.38</v>
      </c>
      <c r="L45" s="66">
        <f t="shared" si="431"/>
        <v>4440223.45</v>
      </c>
      <c r="M45" s="9">
        <f t="shared" ref="M45" si="456">ROUND(L45*0.42,2)</f>
        <v>1864893.85</v>
      </c>
      <c r="N45" s="9">
        <f t="shared" ref="N45" si="457">ROUND(L45*0,2)</f>
        <v>0</v>
      </c>
      <c r="O45" s="9">
        <f>ROUND((L45*0.0955)+(L45*0.41),2)-0.01</f>
        <v>2244532.9400000004</v>
      </c>
      <c r="P45" s="9">
        <f t="shared" ref="P45" si="458">ROUND((L45*0.04)*0.9,2)</f>
        <v>159848.04</v>
      </c>
      <c r="Q45" s="9">
        <f t="shared" ref="Q45" si="459">ROUND(L45*0.005,2)</f>
        <v>22201.119999999999</v>
      </c>
      <c r="R45" s="9">
        <f t="shared" ref="R45" si="460">ROUND((L45*0.0075)*0.9,2)</f>
        <v>29971.51</v>
      </c>
      <c r="S45" s="9">
        <f t="shared" ref="S45" si="461">ROUND((L45*0.0075)*0.9,2)</f>
        <v>29971.51</v>
      </c>
      <c r="T45" s="9">
        <f>ROUND(L45*0.01,2)+0.01</f>
        <v>44402.240000000005</v>
      </c>
      <c r="U45" s="9">
        <f>ROUND(L45*0.01,2)+0.01</f>
        <v>44402.240000000005</v>
      </c>
      <c r="V45" s="40">
        <f t="shared" ref="V45" si="462">E45/W45</f>
        <v>3010.63122437024</v>
      </c>
      <c r="W45" s="10">
        <v>1707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Mountaineer!A46</f>
        <v>44660</v>
      </c>
      <c r="B46" s="9">
        <v>62470236.030000001</v>
      </c>
      <c r="C46" s="9">
        <v>56161637.109999999</v>
      </c>
      <c r="D46" s="9">
        <v>854043</v>
      </c>
      <c r="E46" s="9">
        <f t="shared" ref="E46" si="463">B46-C46-D46</f>
        <v>5454555.9200000018</v>
      </c>
      <c r="F46" s="9">
        <f t="shared" ref="F46" si="464">ROUND(E46*0,2)</f>
        <v>0</v>
      </c>
      <c r="G46" s="9">
        <f>ROUND(E46*0.04,2)</f>
        <v>218182.24</v>
      </c>
      <c r="H46" s="66">
        <f t="shared" ref="H46" si="465">E46-F46-G46</f>
        <v>5236373.6800000016</v>
      </c>
      <c r="I46" s="9">
        <f>ROUND(H46*0.1,2)</f>
        <v>523637.37</v>
      </c>
      <c r="J46" s="9">
        <f t="shared" ref="J46" si="466">ROUND((I46*0.58)+((I46*0.42)*0.1),2)</f>
        <v>325702.44</v>
      </c>
      <c r="K46" s="9">
        <f t="shared" ref="K46" si="467">ROUND((I46*0.42)*0.9,2)</f>
        <v>197934.93</v>
      </c>
      <c r="L46" s="66">
        <f t="shared" si="431"/>
        <v>4712736.3100000015</v>
      </c>
      <c r="M46" s="9">
        <f t="shared" ref="M46" si="468">ROUND(L46*0.42,2)</f>
        <v>1979349.25</v>
      </c>
      <c r="N46" s="9">
        <f t="shared" ref="N46" si="469">ROUND(L46*0,2)</f>
        <v>0</v>
      </c>
      <c r="O46" s="9">
        <f>ROUND((L46*0.0955)+(L46*0.41),2)+0.01</f>
        <v>2382288.21</v>
      </c>
      <c r="P46" s="9">
        <f t="shared" ref="P46" si="470">ROUND((L46*0.04)*0.9,2)</f>
        <v>169658.51</v>
      </c>
      <c r="Q46" s="9">
        <f t="shared" ref="Q46" si="471">ROUND(L46*0.005,2)</f>
        <v>23563.68</v>
      </c>
      <c r="R46" s="9">
        <f t="shared" ref="R46" si="472">ROUND((L46*0.0075)*0.9,2)</f>
        <v>31810.97</v>
      </c>
      <c r="S46" s="9">
        <f t="shared" ref="S46" si="473">ROUND((L46*0.0075)*0.9,2)</f>
        <v>31810.97</v>
      </c>
      <c r="T46" s="9">
        <f>ROUND(L46*0.01,2)</f>
        <v>47127.360000000001</v>
      </c>
      <c r="U46" s="9">
        <f>ROUND(L46*0.01,2)</f>
        <v>47127.360000000001</v>
      </c>
      <c r="V46" s="40">
        <f t="shared" ref="V46" si="474">E46/W46</f>
        <v>3158.3994904458609</v>
      </c>
      <c r="W46" s="10">
        <v>1727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Mountaineer!A47</f>
        <v>44667</v>
      </c>
      <c r="B47" s="9">
        <v>59075626.270000003</v>
      </c>
      <c r="C47" s="9">
        <v>53250439.829999998</v>
      </c>
      <c r="D47" s="9">
        <v>776314</v>
      </c>
      <c r="E47" s="9">
        <f t="shared" ref="E47" si="475">B47-C47-D47</f>
        <v>5048872.4400000051</v>
      </c>
      <c r="F47" s="9">
        <f t="shared" ref="F47" si="476">ROUND(E47*0,2)</f>
        <v>0</v>
      </c>
      <c r="G47" s="9">
        <f>ROUND(E47*0.04,2)</f>
        <v>201954.9</v>
      </c>
      <c r="H47" s="66">
        <f t="shared" ref="H47" si="477">E47-F47-G47</f>
        <v>4846917.5400000047</v>
      </c>
      <c r="I47" s="9">
        <f>ROUND(H47*0.1,2)+0.01</f>
        <v>484691.76</v>
      </c>
      <c r="J47" s="9">
        <f t="shared" ref="J47" si="478">ROUND((I47*0.58)+((I47*0.42)*0.1),2)</f>
        <v>301478.27</v>
      </c>
      <c r="K47" s="9">
        <f t="shared" ref="K47" si="479">ROUND((I47*0.42)*0.9,2)</f>
        <v>183213.49</v>
      </c>
      <c r="L47" s="66">
        <f t="shared" si="431"/>
        <v>4362225.7800000049</v>
      </c>
      <c r="M47" s="9">
        <f t="shared" ref="M47" si="480">ROUND(L47*0.42,2)</f>
        <v>1832134.83</v>
      </c>
      <c r="N47" s="9">
        <f t="shared" ref="N47" si="481">ROUND(L47*0,2)</f>
        <v>0</v>
      </c>
      <c r="O47" s="9">
        <f>ROUND((L47*0.0955)+(L47*0.41),2)</f>
        <v>2205105.13</v>
      </c>
      <c r="P47" s="9">
        <f t="shared" ref="P47" si="482">ROUND((L47*0.04)*0.9,2)</f>
        <v>157040.13</v>
      </c>
      <c r="Q47" s="9">
        <f t="shared" ref="Q47" si="483">ROUND(L47*0.005,2)</f>
        <v>21811.13</v>
      </c>
      <c r="R47" s="9">
        <f t="shared" ref="R47" si="484">ROUND((L47*0.0075)*0.9,2)</f>
        <v>29445.02</v>
      </c>
      <c r="S47" s="9">
        <f t="shared" ref="S47" si="485">ROUND((L47*0.0075)*0.9,2)</f>
        <v>29445.02</v>
      </c>
      <c r="T47" s="9">
        <f>ROUND(L47*0.01,2)</f>
        <v>43622.26</v>
      </c>
      <c r="U47" s="9">
        <f>ROUND(L47*0.01,2)</f>
        <v>43622.26</v>
      </c>
      <c r="V47" s="40">
        <f t="shared" ref="V47" si="486">E47/W47</f>
        <v>2957.7460105448185</v>
      </c>
      <c r="W47" s="10">
        <v>1707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Mountaineer!A48</f>
        <v>44674</v>
      </c>
      <c r="B48" s="9">
        <v>57011701.539999999</v>
      </c>
      <c r="C48" s="9">
        <v>51317297.189999998</v>
      </c>
      <c r="D48" s="9">
        <v>829267</v>
      </c>
      <c r="E48" s="9">
        <f t="shared" ref="E48" si="487">B48-C48-D48</f>
        <v>4865137.3500000015</v>
      </c>
      <c r="F48" s="9">
        <f t="shared" ref="F48" si="488">ROUND(E48*0,2)</f>
        <v>0</v>
      </c>
      <c r="G48" s="9">
        <f>ROUND(E48*0.04,2)+0.01</f>
        <v>194605.5</v>
      </c>
      <c r="H48" s="66">
        <f t="shared" ref="H48" si="489">E48-F48-G48</f>
        <v>4670531.8500000015</v>
      </c>
      <c r="I48" s="9">
        <f>ROUND(H48*0.1,2)</f>
        <v>467053.19</v>
      </c>
      <c r="J48" s="9">
        <f t="shared" ref="J48" si="490">ROUND((I48*0.58)+((I48*0.42)*0.1),2)</f>
        <v>290507.08</v>
      </c>
      <c r="K48" s="9">
        <f t="shared" ref="K48" si="491">ROUND((I48*0.42)*0.9,2)</f>
        <v>176546.11</v>
      </c>
      <c r="L48" s="66">
        <f t="shared" si="431"/>
        <v>4203478.6600000011</v>
      </c>
      <c r="M48" s="9">
        <f t="shared" ref="M48" si="492">ROUND(L48*0.42,2)</f>
        <v>1765461.04</v>
      </c>
      <c r="N48" s="9">
        <f t="shared" ref="N48" si="493">ROUND(L48*0,2)</f>
        <v>0</v>
      </c>
      <c r="O48" s="9">
        <f>ROUND((L48*0.0955)+(L48*0.41),2)+0.02</f>
        <v>2124858.48</v>
      </c>
      <c r="P48" s="9">
        <f t="shared" ref="P48" si="494">ROUND((L48*0.04)*0.9,2)</f>
        <v>151325.23000000001</v>
      </c>
      <c r="Q48" s="9">
        <f t="shared" ref="Q48" si="495">ROUND(L48*0.005,2)</f>
        <v>21017.39</v>
      </c>
      <c r="R48" s="9">
        <f t="shared" ref="R48" si="496">ROUND((L48*0.0075)*0.9,2)</f>
        <v>28373.48</v>
      </c>
      <c r="S48" s="9">
        <f t="shared" ref="S48" si="497">ROUND((L48*0.0075)*0.9,2)</f>
        <v>28373.48</v>
      </c>
      <c r="T48" s="9">
        <f>ROUND(L48*0.01,2)-0.01</f>
        <v>42034.78</v>
      </c>
      <c r="U48" s="9">
        <f>ROUND(L48*0.01,2)-0.01</f>
        <v>42034.78</v>
      </c>
      <c r="V48" s="40">
        <f t="shared" ref="V48" si="498">E48/W48</f>
        <v>2908.0318888224756</v>
      </c>
      <c r="W48" s="10">
        <v>1673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Mountaineer!A49</f>
        <v>44681</v>
      </c>
      <c r="B49" s="9">
        <v>61178005.239999995</v>
      </c>
      <c r="C49" s="9">
        <v>54975370.030000001</v>
      </c>
      <c r="D49" s="9">
        <v>858381</v>
      </c>
      <c r="E49" s="9">
        <f t="shared" ref="E49" si="499">B49-C49-D49</f>
        <v>5344254.2099999934</v>
      </c>
      <c r="F49" s="9">
        <f t="shared" ref="F49" si="500">ROUND(E49*0,2)</f>
        <v>0</v>
      </c>
      <c r="G49" s="9">
        <f>ROUND(E49*0.04,2)</f>
        <v>213770.17</v>
      </c>
      <c r="H49" s="66">
        <f t="shared" ref="H49" si="501">E49-F49-G49</f>
        <v>5130484.0399999935</v>
      </c>
      <c r="I49" s="9">
        <f>ROUND(H49*0.1,2)</f>
        <v>513048.4</v>
      </c>
      <c r="J49" s="9">
        <f t="shared" ref="J49" si="502">ROUND((I49*0.58)+((I49*0.42)*0.1),2)</f>
        <v>319116.09999999998</v>
      </c>
      <c r="K49" s="9">
        <f t="shared" ref="K49" si="503">ROUND((I49*0.42)*0.9,2)</f>
        <v>193932.3</v>
      </c>
      <c r="L49" s="66">
        <f t="shared" ref="L49" si="504">IF(J49+K49=I49,H49-I49,"ERROR")</f>
        <v>4617435.6399999931</v>
      </c>
      <c r="M49" s="9">
        <f t="shared" ref="M49" si="505">ROUND(L49*0.42,2)</f>
        <v>1939322.97</v>
      </c>
      <c r="N49" s="9">
        <f t="shared" ref="N49" si="506">ROUND(L49*0,2)</f>
        <v>0</v>
      </c>
      <c r="O49" s="9">
        <f>ROUND((L49*0.0955)+(L49*0.41),2)-0.01</f>
        <v>2334113.7100000004</v>
      </c>
      <c r="P49" s="9">
        <f t="shared" ref="P49" si="507">ROUND((L49*0.04)*0.9,2)</f>
        <v>166227.68</v>
      </c>
      <c r="Q49" s="9">
        <f t="shared" ref="Q49" si="508">ROUND(L49*0.005,2)</f>
        <v>23087.18</v>
      </c>
      <c r="R49" s="9">
        <f t="shared" ref="R49" si="509">ROUND((L49*0.0075)*0.9,2)</f>
        <v>31167.69</v>
      </c>
      <c r="S49" s="9">
        <f t="shared" ref="S49" si="510">ROUND((L49*0.0075)*0.9,2)</f>
        <v>31167.69</v>
      </c>
      <c r="T49" s="9">
        <f t="shared" ref="T49:T54" si="511">ROUND(L49*0.01,2)</f>
        <v>46174.36</v>
      </c>
      <c r="U49" s="9">
        <f t="shared" ref="U49:U54" si="512">ROUND(L49*0.01,2)</f>
        <v>46174.36</v>
      </c>
      <c r="V49" s="40">
        <f t="shared" ref="V49" si="513">E49/W49</f>
        <v>3229.1566223564914</v>
      </c>
      <c r="W49" s="10">
        <v>1655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Mountaineer!A50</f>
        <v>44688</v>
      </c>
      <c r="B50" s="9">
        <v>60111005.989999995</v>
      </c>
      <c r="C50" s="9">
        <v>54060223.68</v>
      </c>
      <c r="D50" s="9">
        <v>798838</v>
      </c>
      <c r="E50" s="9">
        <f t="shared" ref="E50" si="514">B50-C50-D50</f>
        <v>5251944.3099999949</v>
      </c>
      <c r="F50" s="9">
        <f t="shared" ref="F50" si="515">ROUND(E50*0,2)</f>
        <v>0</v>
      </c>
      <c r="G50" s="9">
        <f>ROUND(E50*0.04,2)+0.01</f>
        <v>210077.78</v>
      </c>
      <c r="H50" s="66">
        <f t="shared" ref="H50" si="516">E50-F50-G50</f>
        <v>5041866.5299999947</v>
      </c>
      <c r="I50" s="9">
        <f>ROUND(H50*0.1,2)+0.01</f>
        <v>504186.66000000003</v>
      </c>
      <c r="J50" s="9">
        <f t="shared" ref="J50" si="517">ROUND((I50*0.58)+((I50*0.42)*0.1),2)</f>
        <v>313604.09999999998</v>
      </c>
      <c r="K50" s="9">
        <f t="shared" ref="K50" si="518">ROUND((I50*0.42)*0.9,2)</f>
        <v>190582.56</v>
      </c>
      <c r="L50" s="66">
        <f t="shared" ref="L50" si="519">IF(J50+K50=I50,H50-I50,"ERROR")</f>
        <v>4537679.8699999945</v>
      </c>
      <c r="M50" s="9">
        <f t="shared" ref="M50" si="520">ROUND(L50*0.42,2)</f>
        <v>1905825.55</v>
      </c>
      <c r="N50" s="9">
        <f t="shared" ref="N50" si="521">ROUND(L50*0,2)</f>
        <v>0</v>
      </c>
      <c r="O50" s="9">
        <f>ROUND((L50*0.0955)+(L50*0.41),2)-0.01</f>
        <v>2293797.16</v>
      </c>
      <c r="P50" s="9">
        <f t="shared" ref="P50" si="522">ROUND((L50*0.04)*0.9,2)</f>
        <v>163356.48000000001</v>
      </c>
      <c r="Q50" s="9">
        <f t="shared" ref="Q50" si="523">ROUND(L50*0.005,2)</f>
        <v>22688.400000000001</v>
      </c>
      <c r="R50" s="9">
        <f t="shared" ref="R50" si="524">ROUND((L50*0.0075)*0.9,2)</f>
        <v>30629.34</v>
      </c>
      <c r="S50" s="9">
        <f t="shared" ref="S50" si="525">ROUND((L50*0.0075)*0.9,2)</f>
        <v>30629.34</v>
      </c>
      <c r="T50" s="9">
        <f t="shared" si="511"/>
        <v>45376.800000000003</v>
      </c>
      <c r="U50" s="9">
        <f t="shared" si="512"/>
        <v>45376.800000000003</v>
      </c>
      <c r="V50" s="40">
        <f t="shared" ref="V50" si="526">E50/W50</f>
        <v>3089.3790058823502</v>
      </c>
      <c r="W50" s="10">
        <v>1700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Mountaineer!A51</f>
        <v>44695</v>
      </c>
      <c r="B51" s="9">
        <v>58715251.739999995</v>
      </c>
      <c r="C51" s="9">
        <v>52992916.230000004</v>
      </c>
      <c r="D51" s="9">
        <v>769386</v>
      </c>
      <c r="E51" s="9">
        <f t="shared" ref="E51" si="527">B51-C51-D51</f>
        <v>4952949.5099999905</v>
      </c>
      <c r="F51" s="9">
        <f t="shared" ref="F51" si="528">ROUND(E51*0,2)</f>
        <v>0</v>
      </c>
      <c r="G51" s="9">
        <f>ROUND(E51*0.04,2)-0.01</f>
        <v>198117.97</v>
      </c>
      <c r="H51" s="66">
        <f t="shared" ref="H51" si="529">E51-F51-G51</f>
        <v>4754831.5399999907</v>
      </c>
      <c r="I51" s="9">
        <f>ROUND(H51*0.1,2)</f>
        <v>475483.15</v>
      </c>
      <c r="J51" s="9">
        <f t="shared" ref="J51:J57" si="530">ROUND((I51*0.58)+((I51*0.42)*0.1),2)</f>
        <v>295750.52</v>
      </c>
      <c r="K51" s="9">
        <f t="shared" ref="K51" si="531">ROUND((I51*0.42)*0.9,2)</f>
        <v>179732.63</v>
      </c>
      <c r="L51" s="66">
        <f t="shared" ref="L51" si="532">IF(J51+K51=I51,H51-I51,"ERROR")</f>
        <v>4279348.3899999904</v>
      </c>
      <c r="M51" s="9">
        <f t="shared" ref="M51" si="533">ROUND(L51*0.42,2)</f>
        <v>1797326.32</v>
      </c>
      <c r="N51" s="9">
        <f t="shared" ref="N51" si="534">ROUND(L51*0,2)</f>
        <v>0</v>
      </c>
      <c r="O51" s="9">
        <f>ROUND((L51*0.0955)+(L51*0.41),2)+0.02</f>
        <v>2163210.63</v>
      </c>
      <c r="P51" s="9">
        <f t="shared" ref="P51" si="535">ROUND((L51*0.04)*0.9,2)</f>
        <v>154056.54</v>
      </c>
      <c r="Q51" s="9">
        <f t="shared" ref="Q51" si="536">ROUND(L51*0.005,2)</f>
        <v>21396.74</v>
      </c>
      <c r="R51" s="9">
        <f t="shared" ref="R51" si="537">ROUND((L51*0.0075)*0.9,2)</f>
        <v>28885.599999999999</v>
      </c>
      <c r="S51" s="9">
        <f t="shared" ref="S51" si="538">ROUND((L51*0.0075)*0.9,2)</f>
        <v>28885.599999999999</v>
      </c>
      <c r="T51" s="9">
        <f t="shared" si="511"/>
        <v>42793.48</v>
      </c>
      <c r="U51" s="9">
        <f t="shared" si="512"/>
        <v>42793.48</v>
      </c>
      <c r="V51" s="40">
        <f t="shared" ref="V51" si="539">E51/W51</f>
        <v>2925.5460779680984</v>
      </c>
      <c r="W51" s="10">
        <v>1693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Mountaineer!A52</f>
        <v>44702</v>
      </c>
      <c r="B52" s="9">
        <v>55989258.699999996</v>
      </c>
      <c r="C52" s="9">
        <v>50489685.980000004</v>
      </c>
      <c r="D52" s="9">
        <v>795362</v>
      </c>
      <c r="E52" s="9">
        <f t="shared" ref="E52" si="540">B52-C52-D52</f>
        <v>4704210.7199999914</v>
      </c>
      <c r="F52" s="9">
        <f t="shared" ref="F52" si="541">ROUND(E52*0,2)</f>
        <v>0</v>
      </c>
      <c r="G52" s="9">
        <f>ROUND(E52*0.04,2)</f>
        <v>188168.43</v>
      </c>
      <c r="H52" s="66">
        <f t="shared" ref="H52" si="542">E52-F52-G52</f>
        <v>4516042.2899999917</v>
      </c>
      <c r="I52" s="9">
        <f>ROUND(H52*0.1,2)</f>
        <v>451604.23</v>
      </c>
      <c r="J52" s="9">
        <f t="shared" si="530"/>
        <v>280897.83</v>
      </c>
      <c r="K52" s="9">
        <f t="shared" ref="K52" si="543">ROUND((I52*0.42)*0.9,2)</f>
        <v>170706.4</v>
      </c>
      <c r="L52" s="66">
        <f t="shared" ref="L52" si="544">IF(J52+K52=I52,H52-I52,"ERROR")</f>
        <v>4064438.0599999917</v>
      </c>
      <c r="M52" s="9">
        <f t="shared" ref="M52" si="545">ROUND(L52*0.42,2)</f>
        <v>1707063.99</v>
      </c>
      <c r="N52" s="9">
        <f t="shared" ref="N52" si="546">ROUND(L52*0,2)</f>
        <v>0</v>
      </c>
      <c r="O52" s="9">
        <f>ROUND((L52*0.0955)+(L52*0.41),2)-0.01</f>
        <v>2054573.43</v>
      </c>
      <c r="P52" s="9">
        <f t="shared" ref="P52" si="547">ROUND((L52*0.04)*0.9,2)</f>
        <v>146319.76999999999</v>
      </c>
      <c r="Q52" s="9">
        <f t="shared" ref="Q52" si="548">ROUND(L52*0.005,2)</f>
        <v>20322.189999999999</v>
      </c>
      <c r="R52" s="9">
        <f t="shared" ref="R52" si="549">ROUND((L52*0.0075)*0.9,2)</f>
        <v>27434.959999999999</v>
      </c>
      <c r="S52" s="9">
        <f t="shared" ref="S52" si="550">ROUND((L52*0.0075)*0.9,2)</f>
        <v>27434.959999999999</v>
      </c>
      <c r="T52" s="9">
        <f t="shared" si="511"/>
        <v>40644.379999999997</v>
      </c>
      <c r="U52" s="9">
        <f t="shared" si="512"/>
        <v>40644.379999999997</v>
      </c>
      <c r="V52" s="40">
        <f t="shared" ref="V52" si="551">E52/W52</f>
        <v>2728.6605104408304</v>
      </c>
      <c r="W52" s="10">
        <v>1724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Mountaineer!A53</f>
        <v>44709</v>
      </c>
      <c r="B53" s="9">
        <v>62068712.520000011</v>
      </c>
      <c r="C53" s="9">
        <v>56002041.120000005</v>
      </c>
      <c r="D53" s="9">
        <v>792961</v>
      </c>
      <c r="E53" s="9">
        <f t="shared" ref="E53" si="552">B53-C53-D53</f>
        <v>5273710.400000006</v>
      </c>
      <c r="F53" s="9">
        <f t="shared" ref="F53" si="553">ROUND(E53*0,2)</f>
        <v>0</v>
      </c>
      <c r="G53" s="9">
        <f>ROUND(E53*0.04,2)</f>
        <v>210948.42</v>
      </c>
      <c r="H53" s="66">
        <f t="shared" ref="H53" si="554">E53-F53-G53</f>
        <v>5062761.980000006</v>
      </c>
      <c r="I53" s="9">
        <f>ROUND(H53*0.1,2)-0.01</f>
        <v>506276.19</v>
      </c>
      <c r="J53" s="9">
        <f t="shared" si="530"/>
        <v>314903.78999999998</v>
      </c>
      <c r="K53" s="9">
        <f t="shared" ref="K53" si="555">ROUND((I53*0.42)*0.9,2)</f>
        <v>191372.4</v>
      </c>
      <c r="L53" s="66">
        <f t="shared" ref="L53" si="556">IF(J53+K53=I53,H53-I53,"ERROR")</f>
        <v>4556485.7900000056</v>
      </c>
      <c r="M53" s="9">
        <f t="shared" ref="M53" si="557">ROUND(L53*0.42,2)</f>
        <v>1913724.03</v>
      </c>
      <c r="N53" s="9">
        <f t="shared" ref="N53" si="558">ROUND(L53*0,2)</f>
        <v>0</v>
      </c>
      <c r="O53" s="9">
        <f>ROUND((L53*0.0955)+(L53*0.41),2)-0.01</f>
        <v>2303303.56</v>
      </c>
      <c r="P53" s="9">
        <f t="shared" ref="P53" si="559">ROUND((L53*0.04)*0.9,2)</f>
        <v>164033.49</v>
      </c>
      <c r="Q53" s="9">
        <f t="shared" ref="Q53" si="560">ROUND(L53*0.005,2)</f>
        <v>22782.43</v>
      </c>
      <c r="R53" s="9">
        <f t="shared" ref="R53" si="561">ROUND((L53*0.0075)*0.9,2)</f>
        <v>30756.28</v>
      </c>
      <c r="S53" s="9">
        <f t="shared" ref="S53" si="562">ROUND((L53*0.0075)*0.9,2)</f>
        <v>30756.28</v>
      </c>
      <c r="T53" s="9">
        <f t="shared" si="511"/>
        <v>45564.86</v>
      </c>
      <c r="U53" s="9">
        <f t="shared" si="512"/>
        <v>45564.86</v>
      </c>
      <c r="V53" s="40">
        <f t="shared" ref="V53" si="563">E53/W53</f>
        <v>3102.1825882352978</v>
      </c>
      <c r="W53" s="10">
        <v>1700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Mountaineer!A54</f>
        <v>44716</v>
      </c>
      <c r="B54" s="9">
        <v>63277722.719999991</v>
      </c>
      <c r="C54" s="9">
        <v>57095224.210000008</v>
      </c>
      <c r="D54" s="9">
        <v>859086</v>
      </c>
      <c r="E54" s="9">
        <f t="shared" ref="E54" si="564">B54-C54-D54</f>
        <v>5323412.509999983</v>
      </c>
      <c r="F54" s="9">
        <f t="shared" ref="F54" si="565">ROUND(E54*0,2)</f>
        <v>0</v>
      </c>
      <c r="G54" s="9">
        <f>ROUND(E54*0.04,2)</f>
        <v>212936.5</v>
      </c>
      <c r="H54" s="66">
        <f t="shared" ref="H54" si="566">E54-F54-G54</f>
        <v>5110476.009999983</v>
      </c>
      <c r="I54" s="9">
        <f>ROUND(H54*0.1,2)</f>
        <v>511047.6</v>
      </c>
      <c r="J54" s="9">
        <f t="shared" si="530"/>
        <v>317871.61</v>
      </c>
      <c r="K54" s="9">
        <f t="shared" ref="K54" si="567">ROUND((I54*0.42)*0.9,2)</f>
        <v>193175.99</v>
      </c>
      <c r="L54" s="66">
        <f t="shared" ref="L54" si="568">IF(J54+K54=I54,H54-I54,"ERROR")</f>
        <v>4599428.4099999834</v>
      </c>
      <c r="M54" s="9">
        <f t="shared" ref="M54" si="569">ROUND(L54*0.42,2)</f>
        <v>1931759.93</v>
      </c>
      <c r="N54" s="9">
        <f t="shared" ref="N54" si="570">ROUND(L54*0,2)</f>
        <v>0</v>
      </c>
      <c r="O54" s="9">
        <f>ROUND((L54*0.0955)+(L54*0.41),2)+0.02</f>
        <v>2325011.08</v>
      </c>
      <c r="P54" s="9">
        <f t="shared" ref="P54" si="571">ROUND((L54*0.04)*0.9,2)</f>
        <v>165579.42000000001</v>
      </c>
      <c r="Q54" s="9">
        <f t="shared" ref="Q54" si="572">ROUND(L54*0.005,2)</f>
        <v>22997.14</v>
      </c>
      <c r="R54" s="9">
        <f t="shared" ref="R54" si="573">ROUND((L54*0.0075)*0.9,2)</f>
        <v>31046.14</v>
      </c>
      <c r="S54" s="9">
        <f t="shared" ref="S54" si="574">ROUND((L54*0.0075)*0.9,2)</f>
        <v>31046.14</v>
      </c>
      <c r="T54" s="9">
        <f t="shared" si="511"/>
        <v>45994.28</v>
      </c>
      <c r="U54" s="9">
        <f t="shared" si="512"/>
        <v>45994.28</v>
      </c>
      <c r="V54" s="40">
        <f t="shared" ref="V54" si="575">E54/W54</f>
        <v>3054.1666724038914</v>
      </c>
      <c r="W54" s="10">
        <v>1743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Mountaineer!A55</f>
        <v>44723</v>
      </c>
      <c r="B55" s="9">
        <v>59136795.800000004</v>
      </c>
      <c r="C55" s="9">
        <v>53458731.939999998</v>
      </c>
      <c r="D55" s="9">
        <v>801704</v>
      </c>
      <c r="E55" s="9">
        <f t="shared" ref="E55" si="576">B55-C55-D55</f>
        <v>4876359.8600000069</v>
      </c>
      <c r="F55" s="9">
        <f t="shared" ref="F55" si="577">ROUND(E55*0,2)</f>
        <v>0</v>
      </c>
      <c r="G55" s="9">
        <f>ROUND(E55*0.04,2)</f>
        <v>195054.39</v>
      </c>
      <c r="H55" s="66">
        <f t="shared" ref="H55" si="578">E55-F55-G55</f>
        <v>4681305.4700000072</v>
      </c>
      <c r="I55" s="9">
        <f>ROUND(H55*0.1,2)</f>
        <v>468130.55</v>
      </c>
      <c r="J55" s="9">
        <f t="shared" si="530"/>
        <v>291177.2</v>
      </c>
      <c r="K55" s="9">
        <f t="shared" ref="K55" si="579">ROUND((I55*0.42)*0.9,2)</f>
        <v>176953.35</v>
      </c>
      <c r="L55" s="66">
        <f t="shared" ref="L55" si="580">IF(J55+K55=I55,H55-I55,"ERROR")</f>
        <v>4213174.9200000074</v>
      </c>
      <c r="M55" s="9">
        <f t="shared" ref="M55" si="581">ROUND(L55*0.42,2)</f>
        <v>1769533.47</v>
      </c>
      <c r="N55" s="9">
        <f t="shared" ref="N55" si="582">ROUND(L55*0,2)</f>
        <v>0</v>
      </c>
      <c r="O55" s="9">
        <f>ROUND((L55*0.0955)+(L55*0.41),2)+0.02</f>
        <v>2129759.94</v>
      </c>
      <c r="P55" s="9">
        <f t="shared" ref="P55" si="583">ROUND((L55*0.04)*0.9,2)</f>
        <v>151674.29999999999</v>
      </c>
      <c r="Q55" s="9">
        <f t="shared" ref="Q55" si="584">ROUND(L55*0.005,2)</f>
        <v>21065.87</v>
      </c>
      <c r="R55" s="9">
        <f t="shared" ref="R55" si="585">ROUND((L55*0.0075)*0.9,2)</f>
        <v>28438.93</v>
      </c>
      <c r="S55" s="9">
        <f t="shared" ref="S55" si="586">ROUND((L55*0.0075)*0.9,2)</f>
        <v>28438.93</v>
      </c>
      <c r="T55" s="9">
        <f>ROUND(L55*0.01,2)-0.01</f>
        <v>42131.74</v>
      </c>
      <c r="U55" s="9">
        <f>ROUND(L55*0.01,2)-0.01</f>
        <v>42131.74</v>
      </c>
      <c r="V55" s="40">
        <f t="shared" ref="V55" si="587">E55/W55</f>
        <v>2865.0762984723897</v>
      </c>
      <c r="W55" s="10">
        <v>1702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Mountaineer!A56</f>
        <v>44730</v>
      </c>
      <c r="B56" s="9">
        <v>58672426.779999994</v>
      </c>
      <c r="C56" s="9">
        <v>52531086.25</v>
      </c>
      <c r="D56" s="9">
        <v>812748</v>
      </c>
      <c r="E56" s="9">
        <f t="shared" ref="E56" si="588">B56-C56-D56</f>
        <v>5328592.5299999937</v>
      </c>
      <c r="F56" s="9">
        <f t="shared" ref="F56" si="589">ROUND(E56*0,2)</f>
        <v>0</v>
      </c>
      <c r="G56" s="9">
        <f>ROUND(E56*0.04,2)-0.01</f>
        <v>213143.69</v>
      </c>
      <c r="H56" s="66">
        <f t="shared" ref="H56" si="590">E56-F56-G56</f>
        <v>5115448.8399999933</v>
      </c>
      <c r="I56" s="9">
        <f>ROUND(H56*0.1,2)</f>
        <v>511544.88</v>
      </c>
      <c r="J56" s="9">
        <f t="shared" si="530"/>
        <v>318180.92</v>
      </c>
      <c r="K56" s="9">
        <f t="shared" ref="K56" si="591">ROUND((I56*0.42)*0.9,2)</f>
        <v>193363.96</v>
      </c>
      <c r="L56" s="66">
        <f t="shared" ref="L56" si="592">IF(J56+K56=I56,H56-I56,"ERROR")</f>
        <v>4603903.9599999934</v>
      </c>
      <c r="M56" s="9">
        <f t="shared" ref="M56" si="593">ROUND(L56*0.42,2)</f>
        <v>1933639.66</v>
      </c>
      <c r="N56" s="9">
        <f t="shared" ref="N56" si="594">ROUND(L56*0,2)</f>
        <v>0</v>
      </c>
      <c r="O56" s="9">
        <f>ROUND((L56*0.0955)+(L56*0.41),2)+0.01</f>
        <v>2327273.46</v>
      </c>
      <c r="P56" s="9">
        <f t="shared" ref="P56" si="595">ROUND((L56*0.04)*0.9,2)</f>
        <v>165740.54</v>
      </c>
      <c r="Q56" s="9">
        <f t="shared" ref="Q56" si="596">ROUND(L56*0.005,2)</f>
        <v>23019.52</v>
      </c>
      <c r="R56" s="9">
        <f t="shared" ref="R56" si="597">ROUND((L56*0.0075)*0.9,2)</f>
        <v>31076.35</v>
      </c>
      <c r="S56" s="9">
        <f t="shared" ref="S56" si="598">ROUND((L56*0.0075)*0.9,2)</f>
        <v>31076.35</v>
      </c>
      <c r="T56" s="9">
        <f>ROUND(L56*0.01,2)</f>
        <v>46039.040000000001</v>
      </c>
      <c r="U56" s="9">
        <f>ROUND(L56*0.01,2)</f>
        <v>46039.040000000001</v>
      </c>
      <c r="V56" s="40">
        <f t="shared" ref="V56" si="599">E56/W56</f>
        <v>3117.9593504973632</v>
      </c>
      <c r="W56" s="10">
        <v>1709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Mountaineer!A57</f>
        <v>44737</v>
      </c>
      <c r="B57" s="9">
        <v>59493236.810000002</v>
      </c>
      <c r="C57" s="9">
        <v>53342803.640000001</v>
      </c>
      <c r="D57" s="9">
        <v>993778</v>
      </c>
      <c r="E57" s="9">
        <f t="shared" ref="E57" si="600">B57-C57-D57</f>
        <v>5156655.1700000018</v>
      </c>
      <c r="F57" s="9">
        <f t="shared" ref="F57" si="601">ROUND(E57*0,2)</f>
        <v>0</v>
      </c>
      <c r="G57" s="9">
        <f>ROUND(E57*0.04,2)</f>
        <v>206266.21</v>
      </c>
      <c r="H57" s="66">
        <f t="shared" ref="H57" si="602">E57-F57-G57</f>
        <v>4950388.9600000018</v>
      </c>
      <c r="I57" s="9">
        <f>ROUND(H57*0.1,2)-0.01</f>
        <v>495038.89</v>
      </c>
      <c r="J57" s="9">
        <f t="shared" si="530"/>
        <v>307914.19</v>
      </c>
      <c r="K57" s="9">
        <f t="shared" ref="K57" si="603">ROUND((I57*0.42)*0.9,2)</f>
        <v>187124.7</v>
      </c>
      <c r="L57" s="66">
        <f t="shared" ref="L57" si="604">IF(J57+K57=I57,H57-I57,"ERROR")</f>
        <v>4455350.0700000022</v>
      </c>
      <c r="M57" s="9">
        <f t="shared" ref="M57" si="605">ROUND(L57*0.42,2)</f>
        <v>1871247.03</v>
      </c>
      <c r="N57" s="9">
        <f t="shared" ref="N57" si="606">ROUND(L57*0,2)</f>
        <v>0</v>
      </c>
      <c r="O57" s="9">
        <f>ROUND((L57*0.0955)+(L57*0.41),2)+0.01</f>
        <v>2252179.4699999997</v>
      </c>
      <c r="P57" s="9">
        <f t="shared" ref="P57" si="607">ROUND((L57*0.04)*0.9,2)</f>
        <v>160392.6</v>
      </c>
      <c r="Q57" s="9">
        <f t="shared" ref="Q57" si="608">ROUND(L57*0.005,2)</f>
        <v>22276.75</v>
      </c>
      <c r="R57" s="9">
        <f t="shared" ref="R57" si="609">ROUND((L57*0.0075)*0.9,2)</f>
        <v>30073.61</v>
      </c>
      <c r="S57" s="9">
        <f t="shared" ref="S57" si="610">ROUND((L57*0.0075)*0.9,2)</f>
        <v>30073.61</v>
      </c>
      <c r="T57" s="9">
        <f>ROUND(L57*0.01,2)</f>
        <v>44553.5</v>
      </c>
      <c r="U57" s="9">
        <f>ROUND(L57*0.01,2)</f>
        <v>44553.5</v>
      </c>
      <c r="V57" s="40">
        <f t="shared" ref="V57" si="611">E57/W57</f>
        <v>2979.0035644136346</v>
      </c>
      <c r="W57" s="10">
        <v>1731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 t="str">
        <f>Mountaineer!A58</f>
        <v>6/30/2022 ***</v>
      </c>
      <c r="B58" s="9">
        <v>37087473.359999999</v>
      </c>
      <c r="C58" s="9">
        <v>33331615.27</v>
      </c>
      <c r="D58" s="9">
        <v>592275</v>
      </c>
      <c r="E58" s="9">
        <f t="shared" ref="E58" si="612">B58-C58-D58</f>
        <v>3163583.09</v>
      </c>
      <c r="F58" s="9">
        <f t="shared" ref="F58" si="613">ROUND(E58*0,2)</f>
        <v>0</v>
      </c>
      <c r="G58" s="9">
        <f>ROUND(E58*0.04,2)+0.01</f>
        <v>126543.33</v>
      </c>
      <c r="H58" s="66">
        <f t="shared" ref="H58" si="614">E58-F58-G58</f>
        <v>3037039.76</v>
      </c>
      <c r="I58" s="9">
        <f>ROUND(H58*0.1,2)</f>
        <v>303703.98</v>
      </c>
      <c r="J58" s="9">
        <f t="shared" ref="J58" si="615">ROUND((I58*0.58)+((I58*0.42)*0.1),2)</f>
        <v>188903.88</v>
      </c>
      <c r="K58" s="9">
        <f t="shared" ref="K58" si="616">ROUND((I58*0.42)*0.9,2)</f>
        <v>114800.1</v>
      </c>
      <c r="L58" s="66">
        <f t="shared" ref="L58" si="617">IF(J58+K58=I58,H58-I58,"ERROR")</f>
        <v>2733335.78</v>
      </c>
      <c r="M58" s="9">
        <f t="shared" ref="M58" si="618">ROUND(L58*0.42,2)</f>
        <v>1148001.03</v>
      </c>
      <c r="N58" s="9">
        <f t="shared" ref="N58" si="619">ROUND(L58*0,2)</f>
        <v>0</v>
      </c>
      <c r="O58" s="9">
        <f>ROUND((L58*0.0955)+(L58*0.41),2)-0.02</f>
        <v>1381701.22</v>
      </c>
      <c r="P58" s="9">
        <f t="shared" ref="P58" si="620">ROUND((L58*0.04)*0.9,2)</f>
        <v>98400.09</v>
      </c>
      <c r="Q58" s="9">
        <f t="shared" ref="Q58" si="621">ROUND(L58*0.005,2)</f>
        <v>13666.68</v>
      </c>
      <c r="R58" s="9">
        <f t="shared" ref="R58" si="622">ROUND((L58*0.0075)*0.9,2)</f>
        <v>18450.02</v>
      </c>
      <c r="S58" s="9">
        <f t="shared" ref="S58" si="623">ROUND((L58*0.0075)*0.9,2)</f>
        <v>18450.02</v>
      </c>
      <c r="T58" s="9">
        <f>ROUND(L58*0.01,2)</f>
        <v>27333.360000000001</v>
      </c>
      <c r="U58" s="9">
        <f>ROUND(L58*0.01,2)</f>
        <v>27333.360000000001</v>
      </c>
      <c r="V58" s="40">
        <f t="shared" ref="V58" si="624">E58/W58</f>
        <v>1807.7617657142857</v>
      </c>
      <c r="W58" s="10">
        <v>1750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60" spans="1:96" ht="15" customHeight="1" thickBot="1" x14ac:dyDescent="0.3">
      <c r="B60" s="14">
        <f t="shared" ref="B60:S60" si="625">SUM(B6:B59)</f>
        <v>3032773118.8199997</v>
      </c>
      <c r="C60" s="14">
        <f t="shared" si="625"/>
        <v>2729259738.9300003</v>
      </c>
      <c r="D60" s="14">
        <f t="shared" si="625"/>
        <v>44217345</v>
      </c>
      <c r="E60" s="14">
        <f t="shared" si="625"/>
        <v>259296034.89000013</v>
      </c>
      <c r="F60" s="14">
        <f t="shared" si="625"/>
        <v>5340672.8499999996</v>
      </c>
      <c r="G60" s="14">
        <f t="shared" si="625"/>
        <v>5031168.55</v>
      </c>
      <c r="H60" s="14">
        <f t="shared" si="625"/>
        <v>248924193.49000007</v>
      </c>
      <c r="I60" s="14">
        <f t="shared" si="625"/>
        <v>11673710.280000003</v>
      </c>
      <c r="J60" s="14">
        <f t="shared" si="625"/>
        <v>7261047.79</v>
      </c>
      <c r="K60" s="14">
        <f t="shared" si="625"/>
        <v>4412662.4899999993</v>
      </c>
      <c r="L60" s="14">
        <f t="shared" si="625"/>
        <v>237250483.21000001</v>
      </c>
      <c r="M60" s="14">
        <f t="shared" si="625"/>
        <v>105593622.03</v>
      </c>
      <c r="N60" s="14">
        <f t="shared" si="625"/>
        <v>39656127.149999999</v>
      </c>
      <c r="O60" s="14">
        <f t="shared" si="625"/>
        <v>70095586.049999997</v>
      </c>
      <c r="P60" s="14">
        <f t="shared" si="625"/>
        <v>12110068.879999999</v>
      </c>
      <c r="Q60" s="14">
        <f t="shared" si="625"/>
        <v>1847187.8799999987</v>
      </c>
      <c r="R60" s="14">
        <f t="shared" si="625"/>
        <v>1601440.7900000003</v>
      </c>
      <c r="S60" s="14">
        <f t="shared" si="625"/>
        <v>1601440.7900000003</v>
      </c>
      <c r="T60" s="14">
        <f t="shared" ref="T60:U60" si="626">SUM(T6:T59)</f>
        <v>2828536.5599999991</v>
      </c>
      <c r="U60" s="14">
        <f t="shared" si="626"/>
        <v>1916473.0800000003</v>
      </c>
      <c r="V60" s="14">
        <f>AVERAGE(V6:V59)</f>
        <v>2908.7564435922732</v>
      </c>
      <c r="W60" s="16">
        <f>AVERAGE(W6:W59)</f>
        <v>1683.6226415094341</v>
      </c>
    </row>
    <row r="61" spans="1:96" ht="15" customHeight="1" thickTop="1" x14ac:dyDescent="0.25"/>
    <row r="62" spans="1:96" ht="15" customHeight="1" x14ac:dyDescent="0.25">
      <c r="A62" s="1" t="s">
        <v>49</v>
      </c>
    </row>
    <row r="63" spans="1:96" ht="15" customHeight="1" x14ac:dyDescent="0.25">
      <c r="A63" s="1" t="s">
        <v>16</v>
      </c>
    </row>
    <row r="64" spans="1:96" ht="15" customHeight="1" x14ac:dyDescent="0.25">
      <c r="A64" s="1" t="s">
        <v>55</v>
      </c>
    </row>
  </sheetData>
  <mergeCells count="1">
    <mergeCell ref="A4:W4"/>
  </mergeCells>
  <pageMargins left="0.25" right="0.25" top="0.5" bottom="0.25" header="0" footer="0"/>
  <pageSetup paperSize="5" scale="49" orientation="landscape" r:id="rId1"/>
  <headerFooter>
    <oddHeader>&amp;CHOLLYWOOD CASINO AT CHARLES TOWN RACES VIDEO LOTTERY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zoomScaleNormal="100" workbookViewId="0">
      <pane ySplit="3" topLeftCell="A28" activePane="bottomLeft" state="frozen"/>
      <selection pane="bottomLeft" activeCell="A60" sqref="A60"/>
    </sheetView>
  </sheetViews>
  <sheetFormatPr defaultRowHeight="15" customHeight="1" x14ac:dyDescent="0.25"/>
  <cols>
    <col min="1" max="1" width="13.7109375" style="2" customWidth="1"/>
    <col min="2" max="3" width="18.85546875" style="2" bestFit="1" customWidth="1"/>
    <col min="4" max="4" width="16.28515625" style="2" customWidth="1"/>
    <col min="5" max="5" width="17.28515625" style="2" bestFit="1" customWidth="1"/>
    <col min="6" max="6" width="16" style="2" customWidth="1"/>
    <col min="7" max="7" width="14.5703125" style="2" customWidth="1"/>
    <col min="8" max="8" width="17.28515625" style="2" customWidth="1"/>
    <col min="9" max="9" width="14.7109375" style="2" hidden="1" customWidth="1"/>
    <col min="10" max="10" width="14.85546875" style="2" customWidth="1"/>
    <col min="11" max="11" width="13.85546875" style="2" customWidth="1"/>
    <col min="12" max="12" width="17.28515625" style="2" bestFit="1" customWidth="1"/>
    <col min="13" max="13" width="17.28515625" style="2" customWidth="1"/>
    <col min="14" max="14" width="15.85546875" style="2" customWidth="1"/>
    <col min="15" max="15" width="16.140625" style="2" bestFit="1" customWidth="1"/>
    <col min="16" max="16" width="15.85546875" style="2" customWidth="1"/>
    <col min="17" max="17" width="15.5703125" style="2" customWidth="1"/>
    <col min="18" max="18" width="17" style="2" customWidth="1"/>
    <col min="19" max="19" width="15.85546875" style="2" customWidth="1"/>
    <col min="20" max="20" width="15" style="2" customWidth="1"/>
    <col min="21" max="21" width="14.85546875" style="2" customWidth="1"/>
    <col min="22" max="23" width="13.7109375" style="2" customWidth="1"/>
    <col min="24" max="16384" width="9.140625" style="2"/>
  </cols>
  <sheetData>
    <row r="1" spans="1:96" s="3" customFormat="1" ht="45" x14ac:dyDescent="0.25">
      <c r="A1" s="3" t="s">
        <v>14</v>
      </c>
      <c r="B1" s="3" t="s">
        <v>18</v>
      </c>
      <c r="C1" s="3" t="s">
        <v>19</v>
      </c>
      <c r="D1" s="3" t="s">
        <v>21</v>
      </c>
      <c r="E1" s="3" t="s">
        <v>22</v>
      </c>
      <c r="F1" s="3" t="s">
        <v>20</v>
      </c>
      <c r="G1" s="3" t="s">
        <v>23</v>
      </c>
      <c r="H1" s="3" t="s">
        <v>24</v>
      </c>
      <c r="I1" s="3" t="s">
        <v>15</v>
      </c>
      <c r="J1" s="3" t="s">
        <v>25</v>
      </c>
      <c r="K1" s="3" t="s">
        <v>26</v>
      </c>
      <c r="L1" s="3" t="s">
        <v>27</v>
      </c>
      <c r="M1" s="3" t="s">
        <v>12</v>
      </c>
      <c r="N1" s="3" t="s">
        <v>28</v>
      </c>
      <c r="O1" s="3" t="s">
        <v>23</v>
      </c>
      <c r="P1" s="3" t="s">
        <v>29</v>
      </c>
      <c r="Q1" s="3" t="s">
        <v>30</v>
      </c>
      <c r="R1" s="3" t="s">
        <v>31</v>
      </c>
      <c r="S1" s="3" t="s">
        <v>32</v>
      </c>
      <c r="T1" s="3" t="s">
        <v>13</v>
      </c>
      <c r="U1" s="3" t="s">
        <v>17</v>
      </c>
      <c r="V1" s="3" t="s">
        <v>33</v>
      </c>
      <c r="W1" s="3" t="s">
        <v>36</v>
      </c>
    </row>
    <row r="2" spans="1:96" s="65" customFormat="1" ht="15" customHeight="1" x14ac:dyDescent="0.25">
      <c r="A2" s="65" t="s">
        <v>46</v>
      </c>
      <c r="B2" s="5">
        <v>4546772769.250001</v>
      </c>
      <c r="C2" s="5">
        <v>4082345146.3899994</v>
      </c>
      <c r="D2" s="5">
        <v>60192997</v>
      </c>
      <c r="E2" s="5">
        <v>404234625.86000007</v>
      </c>
      <c r="F2" s="5">
        <v>13034820.980000002</v>
      </c>
      <c r="G2" s="5">
        <v>3134564.0599999996</v>
      </c>
      <c r="H2" s="5">
        <v>388065240.81999993</v>
      </c>
      <c r="I2" s="5">
        <v>7121859.5100000007</v>
      </c>
      <c r="J2" s="5">
        <v>4429796.5999999996</v>
      </c>
      <c r="K2" s="5">
        <v>2692062.9099999997</v>
      </c>
      <c r="L2" s="5">
        <v>380943381.30999994</v>
      </c>
      <c r="M2" s="5">
        <v>174254319.17999998</v>
      </c>
      <c r="N2" s="5">
        <v>95053993.949999988</v>
      </c>
      <c r="O2" s="5">
        <v>73115693.730000004</v>
      </c>
      <c r="P2" s="5">
        <v>22268821.190000009</v>
      </c>
      <c r="Q2" s="5">
        <v>3488950.0999999996</v>
      </c>
      <c r="R2" s="5">
        <v>2571367.8099999996</v>
      </c>
      <c r="S2" s="5">
        <v>2571367.8099999996</v>
      </c>
      <c r="T2" s="5">
        <v>5626598.1560000014</v>
      </c>
      <c r="U2" s="9">
        <v>1992269.3759999999</v>
      </c>
      <c r="V2" s="9">
        <v>8152.18</v>
      </c>
      <c r="W2" s="10">
        <v>3480</v>
      </c>
    </row>
    <row r="3" spans="1:96" s="4" customFormat="1" ht="15" customHeight="1" x14ac:dyDescent="0.25"/>
    <row r="4" spans="1:96" s="4" customFormat="1" ht="15" customHeight="1" x14ac:dyDescent="0.25">
      <c r="A4" s="72" t="s">
        <v>47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</row>
    <row r="5" spans="1:96" s="42" customFormat="1" ht="15" customHeight="1" x14ac:dyDescent="0.25"/>
    <row r="6" spans="1:96" ht="15" customHeight="1" x14ac:dyDescent="0.25">
      <c r="A6" s="8" t="str">
        <f>Mountaineer!A6</f>
        <v>7/3/2021 *</v>
      </c>
      <c r="B6" s="9">
        <f>SUM('Mountaineer:Charles Town'!B6)</f>
        <v>62714532.07</v>
      </c>
      <c r="C6" s="9">
        <f>SUM('Mountaineer:Charles Town'!C6)</f>
        <v>56173532.060000002</v>
      </c>
      <c r="D6" s="9">
        <f>SUM('Mountaineer:Charles Town'!D6)</f>
        <v>987984</v>
      </c>
      <c r="E6" s="9">
        <f>SUM('Mountaineer:Charles Town'!E6)</f>
        <v>5553016.009999997</v>
      </c>
      <c r="F6" s="9">
        <f>SUM('Mountaineer:Charles Town'!F6)</f>
        <v>222120.64</v>
      </c>
      <c r="G6" s="9">
        <f>SUM('Mountaineer:Charles Town'!G6)</f>
        <v>0</v>
      </c>
      <c r="H6" s="9">
        <f>SUM('Mountaineer:Charles Town'!H6)</f>
        <v>5330895.3699999973</v>
      </c>
      <c r="I6" s="9">
        <f>SUM('Mountaineer:Charles Town'!I6)</f>
        <v>0</v>
      </c>
      <c r="J6" s="9">
        <f>SUM('Mountaineer:Charles Town'!J6)</f>
        <v>0</v>
      </c>
      <c r="K6" s="9">
        <f>SUM('Mountaineer:Charles Town'!K6)</f>
        <v>0</v>
      </c>
      <c r="L6" s="9">
        <f>SUM('Mountaineer:Charles Town'!L6)</f>
        <v>5330895.3699999973</v>
      </c>
      <c r="M6" s="9">
        <f>SUM('Mountaineer:Charles Town'!M6)</f>
        <v>2478866.34</v>
      </c>
      <c r="N6" s="9">
        <f>SUM('Mountaineer:Charles Town'!N6)</f>
        <v>1599268.6700000002</v>
      </c>
      <c r="O6" s="9">
        <f>SUM('Mountaineer:Charles Town'!O6)</f>
        <v>685020.03</v>
      </c>
      <c r="P6" s="9">
        <f>SUM('Mountaineer:Charles Town'!P6)</f>
        <v>335846.41000000003</v>
      </c>
      <c r="Q6" s="9">
        <f>SUM('Mountaineer:Charles Town'!Q6)</f>
        <v>53308.94</v>
      </c>
      <c r="R6" s="9">
        <f>SUM('Mountaineer:Charles Town'!R6)</f>
        <v>35983.550000000003</v>
      </c>
      <c r="S6" s="9">
        <f>SUM('Mountaineer:Charles Town'!S6)</f>
        <v>35983.550000000003</v>
      </c>
      <c r="T6" s="9">
        <f>SUM('Mountaineer:Charles Town'!T6)</f>
        <v>106617.88</v>
      </c>
      <c r="U6" s="9">
        <f>SUM('Mountaineer:Charles Town'!U6)</f>
        <v>0</v>
      </c>
      <c r="V6" s="9">
        <f>SUM('Mountaineer:Charles Town'!V6)</f>
        <v>4774.6254626854561</v>
      </c>
      <c r="W6" s="7">
        <f>SUM('Mountaineer:Charles Town'!W6)</f>
        <v>4357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f>Mountaineer!A7</f>
        <v>44387</v>
      </c>
      <c r="B7" s="9">
        <f>SUM('Mountaineer:Charles Town'!B7)</f>
        <v>116660442.06</v>
      </c>
      <c r="C7" s="9">
        <f>SUM('Mountaineer:Charles Town'!C7)</f>
        <v>104613234.9409999</v>
      </c>
      <c r="D7" s="9">
        <f>SUM('Mountaineer:Charles Town'!D7)</f>
        <v>1811204</v>
      </c>
      <c r="E7" s="9">
        <f>SUM('Mountaineer:Charles Town'!E7)</f>
        <v>10236003.119000105</v>
      </c>
      <c r="F7" s="9">
        <f>SUM('Mountaineer:Charles Town'!F7)</f>
        <v>409440.11</v>
      </c>
      <c r="G7" s="9">
        <f>SUM('Mountaineer:Charles Town'!G7)</f>
        <v>0</v>
      </c>
      <c r="H7" s="9">
        <f>SUM('Mountaineer:Charles Town'!H7)</f>
        <v>9826563.0090001039</v>
      </c>
      <c r="I7" s="9">
        <f>SUM('Mountaineer:Charles Town'!I7)</f>
        <v>0</v>
      </c>
      <c r="J7" s="9">
        <f>SUM('Mountaineer:Charles Town'!J7)</f>
        <v>0</v>
      </c>
      <c r="K7" s="9">
        <f>SUM('Mountaineer:Charles Town'!K7)</f>
        <v>0</v>
      </c>
      <c r="L7" s="9">
        <f>SUM('Mountaineer:Charles Town'!L7)</f>
        <v>9826563.0090001039</v>
      </c>
      <c r="M7" s="9">
        <f>SUM('Mountaineer:Charles Town'!M7)</f>
        <v>4569351.8</v>
      </c>
      <c r="N7" s="9">
        <f>SUM('Mountaineer:Charles Town'!N7)</f>
        <v>2947968.96</v>
      </c>
      <c r="O7" s="9">
        <f>SUM('Mountaineer:Charles Town'!O7)</f>
        <v>1262713.31</v>
      </c>
      <c r="P7" s="9">
        <f>SUM('Mountaineer:Charles Town'!P7)</f>
        <v>619073.48</v>
      </c>
      <c r="Q7" s="9">
        <f>SUM('Mountaineer:Charles Town'!Q7)</f>
        <v>98265.62</v>
      </c>
      <c r="R7" s="9">
        <f>SUM('Mountaineer:Charles Town'!R7)</f>
        <v>66329.299999999988</v>
      </c>
      <c r="S7" s="9">
        <f>SUM('Mountaineer:Charles Town'!S7)</f>
        <v>66329.299999999988</v>
      </c>
      <c r="T7" s="9">
        <f>SUM('Mountaineer:Charles Town'!T7)</f>
        <v>196531.24000000002</v>
      </c>
      <c r="U7" s="9">
        <f>SUM('Mountaineer:Charles Town'!U7)</f>
        <v>0</v>
      </c>
      <c r="V7" s="9">
        <f>SUM('Mountaineer:Charles Town'!V7)</f>
        <v>8521.8740512953736</v>
      </c>
      <c r="W7" s="7">
        <f>SUM('Mountaineer:Charles Town'!W7)</f>
        <v>4324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44394</v>
      </c>
      <c r="B8" s="9">
        <f>SUM('Mountaineer:Charles Town'!B8)</f>
        <v>106292499.81</v>
      </c>
      <c r="C8" s="9">
        <f>SUM('Mountaineer:Charles Town'!C8)</f>
        <v>95073852.199999988</v>
      </c>
      <c r="D8" s="9">
        <f>SUM('Mountaineer:Charles Town'!D8)</f>
        <v>1636961</v>
      </c>
      <c r="E8" s="9">
        <f>SUM('Mountaineer:Charles Town'!E8)</f>
        <v>9581686.6100000013</v>
      </c>
      <c r="F8" s="9">
        <f>SUM('Mountaineer:Charles Town'!F8)</f>
        <v>383267.44999999995</v>
      </c>
      <c r="G8" s="9">
        <f>SUM('Mountaineer:Charles Town'!G8)</f>
        <v>0</v>
      </c>
      <c r="H8" s="9">
        <f>SUM('Mountaineer:Charles Town'!H8)</f>
        <v>9198419.1600000001</v>
      </c>
      <c r="I8" s="9">
        <f>SUM('Mountaineer:Charles Town'!I8)</f>
        <v>0</v>
      </c>
      <c r="J8" s="9">
        <f>SUM('Mountaineer:Charles Town'!J8)</f>
        <v>0</v>
      </c>
      <c r="K8" s="9">
        <f>SUM('Mountaineer:Charles Town'!K8)</f>
        <v>0</v>
      </c>
      <c r="L8" s="9">
        <f>SUM('Mountaineer:Charles Town'!L8)</f>
        <v>9198419.1600000001</v>
      </c>
      <c r="M8" s="9">
        <f>SUM('Mountaineer:Charles Town'!M8)</f>
        <v>4277264.91</v>
      </c>
      <c r="N8" s="9">
        <f>SUM('Mountaineer:Charles Town'!N8)</f>
        <v>2759525.8200000003</v>
      </c>
      <c r="O8" s="9">
        <f>SUM('Mountaineer:Charles Town'!O8)</f>
        <v>1181996.81</v>
      </c>
      <c r="P8" s="9">
        <f>SUM('Mountaineer:Charles Town'!P8)</f>
        <v>579500.41999999993</v>
      </c>
      <c r="Q8" s="9">
        <f>SUM('Mountaineer:Charles Town'!Q8)</f>
        <v>91984.180000000008</v>
      </c>
      <c r="R8" s="9">
        <f>SUM('Mountaineer:Charles Town'!R8)</f>
        <v>62089.33</v>
      </c>
      <c r="S8" s="9">
        <f>SUM('Mountaineer:Charles Town'!S8)</f>
        <v>62089.33</v>
      </c>
      <c r="T8" s="9">
        <f>SUM('Mountaineer:Charles Town'!T8)</f>
        <v>183968.36000000002</v>
      </c>
      <c r="U8" s="9">
        <f>SUM('Mountaineer:Charles Town'!U8)</f>
        <v>0</v>
      </c>
      <c r="V8" s="9">
        <f>SUM('Mountaineer:Charles Town'!V8)</f>
        <v>8118.0450349135608</v>
      </c>
      <c r="W8" s="7">
        <f>SUM('Mountaineer:Charles Town'!W8)</f>
        <v>4300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44401</v>
      </c>
      <c r="B9" s="9">
        <f>SUM('Mountaineer:Charles Town'!B9)</f>
        <v>106227757.82000001</v>
      </c>
      <c r="C9" s="9">
        <f>SUM('Mountaineer:Charles Town'!C9)</f>
        <v>95634545.680000007</v>
      </c>
      <c r="D9" s="9">
        <f>SUM('Mountaineer:Charles Town'!D9)</f>
        <v>1661854</v>
      </c>
      <c r="E9" s="9">
        <f>SUM('Mountaineer:Charles Town'!E9)</f>
        <v>8931358.1400000043</v>
      </c>
      <c r="F9" s="9">
        <f>SUM('Mountaineer:Charles Town'!F9)</f>
        <v>357254.31999999995</v>
      </c>
      <c r="G9" s="9">
        <f>SUM('Mountaineer:Charles Town'!G9)</f>
        <v>0</v>
      </c>
      <c r="H9" s="9">
        <f>SUM('Mountaineer:Charles Town'!H9)</f>
        <v>8574103.820000004</v>
      </c>
      <c r="I9" s="9">
        <f>SUM('Mountaineer:Charles Town'!I9)</f>
        <v>0</v>
      </c>
      <c r="J9" s="9">
        <f>SUM('Mountaineer:Charles Town'!J9)</f>
        <v>0</v>
      </c>
      <c r="K9" s="9">
        <f>SUM('Mountaineer:Charles Town'!K9)</f>
        <v>0</v>
      </c>
      <c r="L9" s="9">
        <f>SUM('Mountaineer:Charles Town'!L9)</f>
        <v>8574103.820000004</v>
      </c>
      <c r="M9" s="9">
        <f>SUM('Mountaineer:Charles Town'!M9)</f>
        <v>3986958.2699999996</v>
      </c>
      <c r="N9" s="9">
        <f>SUM('Mountaineer:Charles Town'!N9)</f>
        <v>2572231.0499999998</v>
      </c>
      <c r="O9" s="9">
        <f>SUM('Mountaineer:Charles Town'!O9)</f>
        <v>1101772.3799999999</v>
      </c>
      <c r="P9" s="9">
        <f>SUM('Mountaineer:Charles Town'!P9)</f>
        <v>540168.54</v>
      </c>
      <c r="Q9" s="9">
        <f>SUM('Mountaineer:Charles Town'!Q9)</f>
        <v>85741.06</v>
      </c>
      <c r="R9" s="9">
        <f>SUM('Mountaineer:Charles Town'!R9)</f>
        <v>57875.199999999997</v>
      </c>
      <c r="S9" s="9">
        <f>SUM('Mountaineer:Charles Town'!S9)</f>
        <v>57875.199999999997</v>
      </c>
      <c r="T9" s="9">
        <f>SUM('Mountaineer:Charles Town'!T9)</f>
        <v>171482.12</v>
      </c>
      <c r="U9" s="9">
        <f>SUM('Mountaineer:Charles Town'!U9)</f>
        <v>0</v>
      </c>
      <c r="V9" s="9">
        <f>SUM('Mountaineer:Charles Town'!V9)</f>
        <v>7655.194475445036</v>
      </c>
      <c r="W9" s="7">
        <f>SUM('Mountaineer:Charles Town'!W9)</f>
        <v>4325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44408</v>
      </c>
      <c r="B10" s="9">
        <f>SUM('Mountaineer:Charles Town'!B10)</f>
        <v>108287335.56</v>
      </c>
      <c r="C10" s="9">
        <f>SUM('Mountaineer:Charles Town'!C10)</f>
        <v>97101382.969999999</v>
      </c>
      <c r="D10" s="9">
        <f>SUM('Mountaineer:Charles Town'!D10)</f>
        <v>1620817</v>
      </c>
      <c r="E10" s="9">
        <f>SUM('Mountaineer:Charles Town'!E10)</f>
        <v>9565135.5899999999</v>
      </c>
      <c r="F10" s="9">
        <f>SUM('Mountaineer:Charles Town'!F10)</f>
        <v>382605.45</v>
      </c>
      <c r="G10" s="9">
        <f>SUM('Mountaineer:Charles Town'!G10)</f>
        <v>0</v>
      </c>
      <c r="H10" s="9">
        <f>SUM('Mountaineer:Charles Town'!H10)</f>
        <v>9182530.1400000006</v>
      </c>
      <c r="I10" s="9">
        <f>SUM('Mountaineer:Charles Town'!I10)</f>
        <v>0</v>
      </c>
      <c r="J10" s="9">
        <f>SUM('Mountaineer:Charles Town'!J10)</f>
        <v>0</v>
      </c>
      <c r="K10" s="9">
        <f>SUM('Mountaineer:Charles Town'!K10)</f>
        <v>0</v>
      </c>
      <c r="L10" s="9">
        <f>SUM('Mountaineer:Charles Town'!L10)</f>
        <v>9182530.1400000006</v>
      </c>
      <c r="M10" s="9">
        <f>SUM('Mountaineer:Charles Town'!M10)</f>
        <v>4269876.5199999996</v>
      </c>
      <c r="N10" s="9">
        <f>SUM('Mountaineer:Charles Town'!N10)</f>
        <v>2754759.04</v>
      </c>
      <c r="O10" s="9">
        <f>SUM('Mountaineer:Charles Town'!O10)</f>
        <v>1179955.1099999999</v>
      </c>
      <c r="P10" s="9">
        <f>SUM('Mountaineer:Charles Town'!P10)</f>
        <v>578499.41</v>
      </c>
      <c r="Q10" s="9">
        <f>SUM('Mountaineer:Charles Town'!Q10)</f>
        <v>91825.3</v>
      </c>
      <c r="R10" s="9">
        <f>SUM('Mountaineer:Charles Town'!R10)</f>
        <v>61982.080000000002</v>
      </c>
      <c r="S10" s="9">
        <f>SUM('Mountaineer:Charles Town'!S10)</f>
        <v>61982.080000000002</v>
      </c>
      <c r="T10" s="9">
        <f>SUM('Mountaineer:Charles Town'!T10)</f>
        <v>183650.6</v>
      </c>
      <c r="U10" s="9">
        <f>SUM('Mountaineer:Charles Town'!U10)</f>
        <v>0</v>
      </c>
      <c r="V10" s="9">
        <f>SUM('Mountaineer:Charles Town'!V10)</f>
        <v>7957.3412067669033</v>
      </c>
      <c r="W10" s="7">
        <f>SUM('Mountaineer:Charles Town'!W10)</f>
        <v>4395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44415</v>
      </c>
      <c r="B11" s="9">
        <f>SUM('Mountaineer:Charles Town'!B11)</f>
        <v>105005344.54000001</v>
      </c>
      <c r="C11" s="9">
        <f>SUM('Mountaineer:Charles Town'!C11)</f>
        <v>94058893.569999993</v>
      </c>
      <c r="D11" s="9">
        <f>SUM('Mountaineer:Charles Town'!D11)</f>
        <v>1560574.8900000001</v>
      </c>
      <c r="E11" s="9">
        <f>SUM('Mountaineer:Charles Town'!E11)</f>
        <v>9385876.0800000057</v>
      </c>
      <c r="F11" s="9">
        <f>SUM('Mountaineer:Charles Town'!F11)</f>
        <v>375435.06</v>
      </c>
      <c r="G11" s="9">
        <f>SUM('Mountaineer:Charles Town'!G11)</f>
        <v>0</v>
      </c>
      <c r="H11" s="9">
        <f>SUM('Mountaineer:Charles Town'!H11)</f>
        <v>9010441.020000007</v>
      </c>
      <c r="I11" s="9">
        <f>SUM('Mountaineer:Charles Town'!I11)</f>
        <v>0</v>
      </c>
      <c r="J11" s="9">
        <f>SUM('Mountaineer:Charles Town'!J11)</f>
        <v>0</v>
      </c>
      <c r="K11" s="9">
        <f>SUM('Mountaineer:Charles Town'!K11)</f>
        <v>0</v>
      </c>
      <c r="L11" s="9">
        <f>SUM('Mountaineer:Charles Town'!L11)</f>
        <v>9010441.020000007</v>
      </c>
      <c r="M11" s="9">
        <f>SUM('Mountaineer:Charles Town'!M11)</f>
        <v>4189855.0700000003</v>
      </c>
      <c r="N11" s="9">
        <f>SUM('Mountaineer:Charles Town'!N11)</f>
        <v>2703132.38</v>
      </c>
      <c r="O11" s="9">
        <f>SUM('Mountaineer:Charles Town'!O11)</f>
        <v>1157841.6299999999</v>
      </c>
      <c r="P11" s="9">
        <f>SUM('Mountaineer:Charles Town'!P11)</f>
        <v>567657.78</v>
      </c>
      <c r="Q11" s="9">
        <f>SUM('Mountaineer:Charles Town'!Q11)</f>
        <v>90104.4</v>
      </c>
      <c r="R11" s="9">
        <f>SUM('Mountaineer:Charles Town'!R11)</f>
        <v>60820.479999999996</v>
      </c>
      <c r="S11" s="9">
        <f>SUM('Mountaineer:Charles Town'!S11)</f>
        <v>60820.479999999996</v>
      </c>
      <c r="T11" s="9">
        <f>SUM('Mountaineer:Charles Town'!T11)</f>
        <v>180208.8</v>
      </c>
      <c r="U11" s="9">
        <f>SUM('Mountaineer:Charles Town'!U11)</f>
        <v>0</v>
      </c>
      <c r="V11" s="9">
        <f>SUM('Mountaineer:Charles Town'!V11)</f>
        <v>7667.8227413461227</v>
      </c>
      <c r="W11" s="7">
        <f>SUM('Mountaineer:Charles Town'!W11)</f>
        <v>4464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44422</v>
      </c>
      <c r="B12" s="9">
        <f>SUM('Mountaineer:Charles Town'!B12)</f>
        <v>104966781.09</v>
      </c>
      <c r="C12" s="9">
        <f>SUM('Mountaineer:Charles Town'!C12)</f>
        <v>94241265.379999995</v>
      </c>
      <c r="D12" s="9">
        <f>SUM('Mountaineer:Charles Town'!D12)</f>
        <v>1563142</v>
      </c>
      <c r="E12" s="9">
        <f>SUM('Mountaineer:Charles Town'!E12)</f>
        <v>9162373.709999999</v>
      </c>
      <c r="F12" s="9">
        <f>SUM('Mountaineer:Charles Town'!F12)</f>
        <v>366494.93000000005</v>
      </c>
      <c r="G12" s="9">
        <f>SUM('Mountaineer:Charles Town'!G12)</f>
        <v>0</v>
      </c>
      <c r="H12" s="9">
        <f>SUM('Mountaineer:Charles Town'!H12)</f>
        <v>8795878.7799999975</v>
      </c>
      <c r="I12" s="9">
        <f>SUM('Mountaineer:Charles Town'!I12)</f>
        <v>0</v>
      </c>
      <c r="J12" s="9">
        <f>SUM('Mountaineer:Charles Town'!J12)</f>
        <v>0</v>
      </c>
      <c r="K12" s="9">
        <f>SUM('Mountaineer:Charles Town'!K12)</f>
        <v>0</v>
      </c>
      <c r="L12" s="9">
        <f>SUM('Mountaineer:Charles Town'!L12)</f>
        <v>8795878.7799999975</v>
      </c>
      <c r="M12" s="9">
        <f>SUM('Mountaineer:Charles Town'!M12)</f>
        <v>4090083.63</v>
      </c>
      <c r="N12" s="9">
        <f>SUM('Mountaineer:Charles Town'!N12)</f>
        <v>2638763.5999999996</v>
      </c>
      <c r="O12" s="9">
        <f>SUM('Mountaineer:Charles Town'!O12)</f>
        <v>1130270.4300000002</v>
      </c>
      <c r="P12" s="9">
        <f>SUM('Mountaineer:Charles Town'!P12)</f>
        <v>554140.36</v>
      </c>
      <c r="Q12" s="9">
        <f>SUM('Mountaineer:Charles Town'!Q12)</f>
        <v>87958.8</v>
      </c>
      <c r="R12" s="9">
        <f>SUM('Mountaineer:Charles Town'!R12)</f>
        <v>59372.18</v>
      </c>
      <c r="S12" s="9">
        <f>SUM('Mountaineer:Charles Town'!S12)</f>
        <v>59372.18</v>
      </c>
      <c r="T12" s="9">
        <f>SUM('Mountaineer:Charles Town'!T12)</f>
        <v>175917.59999999998</v>
      </c>
      <c r="U12" s="9">
        <f>SUM('Mountaineer:Charles Town'!U12)</f>
        <v>0</v>
      </c>
      <c r="V12" s="9">
        <f>SUM('Mountaineer:Charles Town'!V12)</f>
        <v>7437.5173090585704</v>
      </c>
      <c r="W12" s="7">
        <f>SUM('Mountaineer:Charles Town'!W12)</f>
        <v>4472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44429</v>
      </c>
      <c r="B13" s="9">
        <f>SUM('Mountaineer:Charles Town'!B13)</f>
        <v>104765991.11</v>
      </c>
      <c r="C13" s="9">
        <f>SUM('Mountaineer:Charles Town'!C13)</f>
        <v>93878203.710000008</v>
      </c>
      <c r="D13" s="9">
        <f>SUM('Mountaineer:Charles Town'!D13)</f>
        <v>1521493</v>
      </c>
      <c r="E13" s="9">
        <f>SUM('Mountaineer:Charles Town'!E13)</f>
        <v>9366294.3999999966</v>
      </c>
      <c r="F13" s="9">
        <f>SUM('Mountaineer:Charles Town'!F13)</f>
        <v>374651.75</v>
      </c>
      <c r="G13" s="9">
        <f>SUM('Mountaineer:Charles Town'!G13)</f>
        <v>0</v>
      </c>
      <c r="H13" s="9">
        <f>SUM('Mountaineer:Charles Town'!H13)</f>
        <v>8991642.6499999966</v>
      </c>
      <c r="I13" s="9">
        <f>SUM('Mountaineer:Charles Town'!I13)</f>
        <v>0</v>
      </c>
      <c r="J13" s="9">
        <f>SUM('Mountaineer:Charles Town'!J13)</f>
        <v>0</v>
      </c>
      <c r="K13" s="9">
        <f>SUM('Mountaineer:Charles Town'!K13)</f>
        <v>0</v>
      </c>
      <c r="L13" s="9">
        <f>SUM('Mountaineer:Charles Town'!L13)</f>
        <v>8991642.6499999966</v>
      </c>
      <c r="M13" s="9">
        <f>SUM('Mountaineer:Charles Town'!M13)</f>
        <v>4181113.83</v>
      </c>
      <c r="N13" s="9">
        <f>SUM('Mountaineer:Charles Town'!N13)</f>
        <v>2697492.92</v>
      </c>
      <c r="O13" s="9">
        <f>SUM('Mountaineer:Charles Town'!O13)</f>
        <v>1155426.0299999998</v>
      </c>
      <c r="P13" s="9">
        <f>SUM('Mountaineer:Charles Town'!P13)</f>
        <v>566473.49</v>
      </c>
      <c r="Q13" s="9">
        <f>SUM('Mountaineer:Charles Town'!Q13)</f>
        <v>89916.4</v>
      </c>
      <c r="R13" s="9">
        <f>SUM('Mountaineer:Charles Town'!R13)</f>
        <v>60693.59</v>
      </c>
      <c r="S13" s="9">
        <f>SUM('Mountaineer:Charles Town'!S13)</f>
        <v>60693.59</v>
      </c>
      <c r="T13" s="9">
        <f>SUM('Mountaineer:Charles Town'!T13)</f>
        <v>179832.8</v>
      </c>
      <c r="U13" s="9">
        <f>SUM('Mountaineer:Charles Town'!U13)</f>
        <v>0</v>
      </c>
      <c r="V13" s="9">
        <f>SUM('Mountaineer:Charles Town'!V13)</f>
        <v>7621.0044935075039</v>
      </c>
      <c r="W13" s="7">
        <f>SUM('Mountaineer:Charles Town'!W13)</f>
        <v>4482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44436</v>
      </c>
      <c r="B14" s="9">
        <f>SUM('Mountaineer:Charles Town'!B14)</f>
        <v>100774807.28</v>
      </c>
      <c r="C14" s="9">
        <f>SUM('Mountaineer:Charles Town'!C14)</f>
        <v>90391261.060000002</v>
      </c>
      <c r="D14" s="9">
        <f>SUM('Mountaineer:Charles Town'!D14)</f>
        <v>1562183</v>
      </c>
      <c r="E14" s="9">
        <f>SUM('Mountaineer:Charles Town'!E14)</f>
        <v>8821363.2199999914</v>
      </c>
      <c r="F14" s="9">
        <f>SUM('Mountaineer:Charles Town'!F14)</f>
        <v>352854.54000000004</v>
      </c>
      <c r="G14" s="9">
        <f>SUM('Mountaineer:Charles Town'!G14)</f>
        <v>0</v>
      </c>
      <c r="H14" s="9">
        <f>SUM('Mountaineer:Charles Town'!H14)</f>
        <v>8468508.6799999923</v>
      </c>
      <c r="I14" s="9">
        <f>SUM('Mountaineer:Charles Town'!I14)</f>
        <v>0</v>
      </c>
      <c r="J14" s="9">
        <f>SUM('Mountaineer:Charles Town'!J14)</f>
        <v>0</v>
      </c>
      <c r="K14" s="9">
        <f>SUM('Mountaineer:Charles Town'!K14)</f>
        <v>0</v>
      </c>
      <c r="L14" s="9">
        <f>SUM('Mountaineer:Charles Town'!L14)</f>
        <v>8468508.6799999923</v>
      </c>
      <c r="M14" s="9">
        <f>SUM('Mountaineer:Charles Town'!M14)</f>
        <v>3937856.54</v>
      </c>
      <c r="N14" s="9">
        <f>SUM('Mountaineer:Charles Town'!N14)</f>
        <v>2540552.6500000004</v>
      </c>
      <c r="O14" s="9">
        <f>SUM('Mountaineer:Charles Town'!O14)</f>
        <v>1088203.32</v>
      </c>
      <c r="P14" s="9">
        <f>SUM('Mountaineer:Charles Town'!P14)</f>
        <v>533516.05000000005</v>
      </c>
      <c r="Q14" s="9">
        <f>SUM('Mountaineer:Charles Town'!Q14)</f>
        <v>84685.079999999987</v>
      </c>
      <c r="R14" s="9">
        <f>SUM('Mountaineer:Charles Town'!R14)</f>
        <v>57162.44</v>
      </c>
      <c r="S14" s="9">
        <f>SUM('Mountaineer:Charles Town'!S14)</f>
        <v>57162.44</v>
      </c>
      <c r="T14" s="9">
        <f>SUM('Mountaineer:Charles Town'!T14)</f>
        <v>169370.16</v>
      </c>
      <c r="U14" s="9">
        <f>SUM('Mountaineer:Charles Town'!U14)</f>
        <v>0</v>
      </c>
      <c r="V14" s="9">
        <f>SUM('Mountaineer:Charles Town'!V14)</f>
        <v>7212.0185565319389</v>
      </c>
      <c r="W14" s="7">
        <f>SUM('Mountaineer:Charles Town'!W14)</f>
        <v>4478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44443</v>
      </c>
      <c r="B15" s="9">
        <f>SUM('Mountaineer:Charles Town'!B15)</f>
        <v>101115748.56999999</v>
      </c>
      <c r="C15" s="9">
        <f>SUM('Mountaineer:Charles Town'!C15)</f>
        <v>90937753.299999997</v>
      </c>
      <c r="D15" s="9">
        <f>SUM('Mountaineer:Charles Town'!D15)</f>
        <v>1487329</v>
      </c>
      <c r="E15" s="9">
        <f>SUM('Mountaineer:Charles Town'!E15)</f>
        <v>8690666.270000007</v>
      </c>
      <c r="F15" s="9">
        <f>SUM('Mountaineer:Charles Town'!F15)</f>
        <v>347626.61</v>
      </c>
      <c r="G15" s="9">
        <f>SUM('Mountaineer:Charles Town'!G15)</f>
        <v>0</v>
      </c>
      <c r="H15" s="9">
        <f>SUM('Mountaineer:Charles Town'!H15)</f>
        <v>8343039.6600000067</v>
      </c>
      <c r="I15" s="9">
        <f>SUM('Mountaineer:Charles Town'!I15)</f>
        <v>0</v>
      </c>
      <c r="J15" s="9">
        <f>SUM('Mountaineer:Charles Town'!J15)</f>
        <v>0</v>
      </c>
      <c r="K15" s="9">
        <f>SUM('Mountaineer:Charles Town'!K15)</f>
        <v>0</v>
      </c>
      <c r="L15" s="9">
        <f>SUM('Mountaineer:Charles Town'!L15)</f>
        <v>8343039.6600000067</v>
      </c>
      <c r="M15" s="9">
        <f>SUM('Mountaineer:Charles Town'!M15)</f>
        <v>3879513.43</v>
      </c>
      <c r="N15" s="9">
        <f>SUM('Mountaineer:Charles Town'!N15)</f>
        <v>2502911.87</v>
      </c>
      <c r="O15" s="9">
        <f>SUM('Mountaineer:Charles Town'!O15)</f>
        <v>1072080.6299999999</v>
      </c>
      <c r="P15" s="9">
        <f>SUM('Mountaineer:Charles Town'!P15)</f>
        <v>525611.49</v>
      </c>
      <c r="Q15" s="9">
        <f>SUM('Mountaineer:Charles Town'!Q15)</f>
        <v>83430.399999999994</v>
      </c>
      <c r="R15" s="9">
        <f>SUM('Mountaineer:Charles Town'!R15)</f>
        <v>56315.520000000004</v>
      </c>
      <c r="S15" s="9">
        <f>SUM('Mountaineer:Charles Town'!S15)</f>
        <v>56315.520000000004</v>
      </c>
      <c r="T15" s="9">
        <f>SUM('Mountaineer:Charles Town'!T15)</f>
        <v>164561.12</v>
      </c>
      <c r="U15" s="9">
        <f>SUM('Mountaineer:Charles Town'!U15)</f>
        <v>2299.6799999999998</v>
      </c>
      <c r="V15" s="9">
        <f>SUM('Mountaineer:Charles Town'!V15)</f>
        <v>6992.1224639736629</v>
      </c>
      <c r="W15" s="7">
        <f>SUM('Mountaineer:Charles Town'!W15)</f>
        <v>4482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44450</v>
      </c>
      <c r="B16" s="9">
        <f>SUM('Mountaineer:Charles Town'!B16)</f>
        <v>116572514.82000002</v>
      </c>
      <c r="C16" s="9">
        <f>SUM('Mountaineer:Charles Town'!C16)</f>
        <v>104823039.05</v>
      </c>
      <c r="D16" s="9">
        <f>SUM('Mountaineer:Charles Town'!D16)</f>
        <v>1830488.75</v>
      </c>
      <c r="E16" s="9">
        <f>SUM('Mountaineer:Charles Town'!E16)</f>
        <v>9918987.0200000107</v>
      </c>
      <c r="F16" s="9">
        <f>SUM('Mountaineer:Charles Town'!F16)</f>
        <v>396759.45999999996</v>
      </c>
      <c r="G16" s="9">
        <f>SUM('Mountaineer:Charles Town'!G16)</f>
        <v>0</v>
      </c>
      <c r="H16" s="9">
        <f>SUM('Mountaineer:Charles Town'!H16)</f>
        <v>9522227.5600000098</v>
      </c>
      <c r="I16" s="9">
        <f>SUM('Mountaineer:Charles Town'!I16)</f>
        <v>0</v>
      </c>
      <c r="J16" s="9">
        <f>SUM('Mountaineer:Charles Town'!J16)</f>
        <v>0</v>
      </c>
      <c r="K16" s="9">
        <f>SUM('Mountaineer:Charles Town'!K16)</f>
        <v>0</v>
      </c>
      <c r="L16" s="9">
        <f>SUM('Mountaineer:Charles Town'!L16)</f>
        <v>9522227.5600000098</v>
      </c>
      <c r="M16" s="9">
        <f>SUM('Mountaineer:Charles Town'!M16)</f>
        <v>4427835.8100000005</v>
      </c>
      <c r="N16" s="9">
        <f>SUM('Mountaineer:Charles Town'!N16)</f>
        <v>2856668.2199999997</v>
      </c>
      <c r="O16" s="9">
        <f>SUM('Mountaineer:Charles Town'!O16)</f>
        <v>1223606.25</v>
      </c>
      <c r="P16" s="9">
        <f>SUM('Mountaineer:Charles Town'!P16)</f>
        <v>599900.34</v>
      </c>
      <c r="Q16" s="9">
        <f>SUM('Mountaineer:Charles Town'!Q16)</f>
        <v>95222.28</v>
      </c>
      <c r="R16" s="9">
        <f>SUM('Mountaineer:Charles Town'!R16)</f>
        <v>64275.05</v>
      </c>
      <c r="S16" s="9">
        <f>SUM('Mountaineer:Charles Town'!S16)</f>
        <v>64275.05</v>
      </c>
      <c r="T16" s="9">
        <f>SUM('Mountaineer:Charles Town'!T16)</f>
        <v>139234.20000000001</v>
      </c>
      <c r="U16" s="9">
        <f>SUM('Mountaineer:Charles Town'!U16)</f>
        <v>51210.36</v>
      </c>
      <c r="V16" s="9">
        <f>SUM('Mountaineer:Charles Town'!V16)</f>
        <v>7961.5632986721921</v>
      </c>
      <c r="W16" s="7">
        <f>SUM('Mountaineer:Charles Town'!W16)</f>
        <v>4552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44457</v>
      </c>
      <c r="B17" s="9">
        <f>SUM('Mountaineer:Charles Town'!B17)</f>
        <v>99687999.310000002</v>
      </c>
      <c r="C17" s="9">
        <f>SUM('Mountaineer:Charles Town'!C17)</f>
        <v>89512560.550000012</v>
      </c>
      <c r="D17" s="9">
        <f>SUM('Mountaineer:Charles Town'!D17)</f>
        <v>1501191</v>
      </c>
      <c r="E17" s="9">
        <f>SUM('Mountaineer:Charles Town'!E17)</f>
        <v>8674247.7599999905</v>
      </c>
      <c r="F17" s="9">
        <f>SUM('Mountaineer:Charles Town'!F17)</f>
        <v>346969.88</v>
      </c>
      <c r="G17" s="9">
        <f>SUM('Mountaineer:Charles Town'!G17)</f>
        <v>0</v>
      </c>
      <c r="H17" s="9">
        <f>SUM('Mountaineer:Charles Town'!H17)</f>
        <v>8327277.8799999896</v>
      </c>
      <c r="I17" s="9">
        <f>SUM('Mountaineer:Charles Town'!I17)</f>
        <v>0</v>
      </c>
      <c r="J17" s="9">
        <f>SUM('Mountaineer:Charles Town'!J17)</f>
        <v>0</v>
      </c>
      <c r="K17" s="9">
        <f>SUM('Mountaineer:Charles Town'!K17)</f>
        <v>0</v>
      </c>
      <c r="L17" s="9">
        <f>SUM('Mountaineer:Charles Town'!L17)</f>
        <v>8327277.8799999896</v>
      </c>
      <c r="M17" s="9">
        <f>SUM('Mountaineer:Charles Town'!M17)</f>
        <v>3872184.21</v>
      </c>
      <c r="N17" s="9">
        <f>SUM('Mountaineer:Charles Town'!N17)</f>
        <v>2498183.38</v>
      </c>
      <c r="O17" s="9">
        <f>SUM('Mountaineer:Charles Town'!O17)</f>
        <v>1070055.2</v>
      </c>
      <c r="P17" s="9">
        <f>SUM('Mountaineer:Charles Town'!P17)</f>
        <v>524618.51</v>
      </c>
      <c r="Q17" s="9">
        <f>SUM('Mountaineer:Charles Town'!Q17)</f>
        <v>83272.78</v>
      </c>
      <c r="R17" s="9">
        <f>SUM('Mountaineer:Charles Town'!R17)</f>
        <v>56209.119999999995</v>
      </c>
      <c r="S17" s="9">
        <f>SUM('Mountaineer:Charles Town'!S17)</f>
        <v>56209.119999999995</v>
      </c>
      <c r="T17" s="9">
        <f>SUM('Mountaineer:Charles Town'!T17)</f>
        <v>121840.2</v>
      </c>
      <c r="U17" s="9">
        <f>SUM('Mountaineer:Charles Town'!U17)</f>
        <v>44705.36</v>
      </c>
      <c r="V17" s="9">
        <f>SUM('Mountaineer:Charles Town'!V17)</f>
        <v>6986.1592655874883</v>
      </c>
      <c r="W17" s="7">
        <f>SUM('Mountaineer:Charles Town'!W17)</f>
        <v>4545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44464</v>
      </c>
      <c r="B18" s="9">
        <f>SUM('Mountaineer:Charles Town'!B18)</f>
        <v>101428784.56</v>
      </c>
      <c r="C18" s="9">
        <f>SUM('Mountaineer:Charles Town'!C18)</f>
        <v>90890706.489999995</v>
      </c>
      <c r="D18" s="9">
        <f>SUM('Mountaineer:Charles Town'!D18)</f>
        <v>1541127</v>
      </c>
      <c r="E18" s="9">
        <f>SUM('Mountaineer:Charles Town'!E18)</f>
        <v>8996951.0700000022</v>
      </c>
      <c r="F18" s="9">
        <f>SUM('Mountaineer:Charles Town'!F18)</f>
        <v>359878.03</v>
      </c>
      <c r="G18" s="9">
        <f>SUM('Mountaineer:Charles Town'!G18)</f>
        <v>0</v>
      </c>
      <c r="H18" s="9">
        <f>SUM('Mountaineer:Charles Town'!H18)</f>
        <v>8637073.040000001</v>
      </c>
      <c r="I18" s="9">
        <f>SUM('Mountaineer:Charles Town'!I18)</f>
        <v>0</v>
      </c>
      <c r="J18" s="9">
        <f>SUM('Mountaineer:Charles Town'!J18)</f>
        <v>0</v>
      </c>
      <c r="K18" s="9">
        <f>SUM('Mountaineer:Charles Town'!K18)</f>
        <v>0</v>
      </c>
      <c r="L18" s="9">
        <f>SUM('Mountaineer:Charles Town'!L18)</f>
        <v>8637073.040000001</v>
      </c>
      <c r="M18" s="9">
        <f>SUM('Mountaineer:Charles Town'!M18)</f>
        <v>4016238.96</v>
      </c>
      <c r="N18" s="9">
        <f>SUM('Mountaineer:Charles Town'!N18)</f>
        <v>2591121.9699999997</v>
      </c>
      <c r="O18" s="9">
        <f>SUM('Mountaineer:Charles Town'!O18)</f>
        <v>1109863.8900000001</v>
      </c>
      <c r="P18" s="9">
        <f>SUM('Mountaineer:Charles Town'!P18)</f>
        <v>544135.60000000009</v>
      </c>
      <c r="Q18" s="9">
        <f>SUM('Mountaineer:Charles Town'!Q18)</f>
        <v>86370.72</v>
      </c>
      <c r="R18" s="9">
        <f>SUM('Mountaineer:Charles Town'!R18)</f>
        <v>58300.229999999996</v>
      </c>
      <c r="S18" s="9">
        <f>SUM('Mountaineer:Charles Town'!S18)</f>
        <v>58300.229999999996</v>
      </c>
      <c r="T18" s="9">
        <f>SUM('Mountaineer:Charles Town'!T18)</f>
        <v>125471.45999999999</v>
      </c>
      <c r="U18" s="9">
        <f>SUM('Mountaineer:Charles Town'!U18)</f>
        <v>47269.98</v>
      </c>
      <c r="V18" s="9">
        <f>SUM('Mountaineer:Charles Town'!V18)</f>
        <v>7136.9690855595945</v>
      </c>
      <c r="W18" s="7">
        <f>SUM('Mountaineer:Charles Town'!W18)</f>
        <v>4559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44471</v>
      </c>
      <c r="B19" s="9">
        <f>SUM('Mountaineer:Charles Town'!B19)</f>
        <v>99938170.870000005</v>
      </c>
      <c r="C19" s="9">
        <f>SUM('Mountaineer:Charles Town'!C19)</f>
        <v>89915307.439999998</v>
      </c>
      <c r="D19" s="9">
        <f>SUM('Mountaineer:Charles Town'!D19)</f>
        <v>1506443</v>
      </c>
      <c r="E19" s="9">
        <f>SUM('Mountaineer:Charles Town'!E19)</f>
        <v>8516420.4299999941</v>
      </c>
      <c r="F19" s="9">
        <f>SUM('Mountaineer:Charles Town'!F19)</f>
        <v>340656.81999999995</v>
      </c>
      <c r="G19" s="9">
        <f>SUM('Mountaineer:Charles Town'!G19)</f>
        <v>0</v>
      </c>
      <c r="H19" s="9">
        <f>SUM('Mountaineer:Charles Town'!H19)</f>
        <v>8175763.6099999938</v>
      </c>
      <c r="I19" s="9">
        <f>SUM('Mountaineer:Charles Town'!I19)</f>
        <v>0</v>
      </c>
      <c r="J19" s="9">
        <f>SUM('Mountaineer:Charles Town'!J19)</f>
        <v>0</v>
      </c>
      <c r="K19" s="9">
        <f>SUM('Mountaineer:Charles Town'!K19)</f>
        <v>0</v>
      </c>
      <c r="L19" s="9">
        <f>SUM('Mountaineer:Charles Town'!L19)</f>
        <v>8175763.6099999938</v>
      </c>
      <c r="M19" s="9">
        <f>SUM('Mountaineer:Charles Town'!M19)</f>
        <v>3801730.09</v>
      </c>
      <c r="N19" s="9">
        <f>SUM('Mountaineer:Charles Town'!N19)</f>
        <v>2452729.16</v>
      </c>
      <c r="O19" s="9">
        <f>SUM('Mountaineer:Charles Town'!O19)</f>
        <v>1050585.5699999998</v>
      </c>
      <c r="P19" s="9">
        <f>SUM('Mountaineer:Charles Town'!P19)</f>
        <v>515073.11000000004</v>
      </c>
      <c r="Q19" s="9">
        <f>SUM('Mountaineer:Charles Town'!Q19)</f>
        <v>81757.62</v>
      </c>
      <c r="R19" s="9">
        <f>SUM('Mountaineer:Charles Town'!R19)</f>
        <v>55186.41</v>
      </c>
      <c r="S19" s="9">
        <f>SUM('Mountaineer:Charles Town'!S19)</f>
        <v>55186.41</v>
      </c>
      <c r="T19" s="9">
        <f>SUM('Mountaineer:Charles Town'!T19)</f>
        <v>119289.4</v>
      </c>
      <c r="U19" s="9">
        <f>SUM('Mountaineer:Charles Town'!U19)</f>
        <v>44225.84</v>
      </c>
      <c r="V19" s="9">
        <f>SUM('Mountaineer:Charles Town'!V19)</f>
        <v>6817.5686419831663</v>
      </c>
      <c r="W19" s="7">
        <f>SUM('Mountaineer:Charles Town'!W19)</f>
        <v>4567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44478</v>
      </c>
      <c r="B20" s="9">
        <f>SUM('Mountaineer:Charles Town'!B20)</f>
        <v>102967998.01000001</v>
      </c>
      <c r="C20" s="9">
        <f>SUM('Mountaineer:Charles Town'!C20)</f>
        <v>92569540.129999995</v>
      </c>
      <c r="D20" s="9">
        <f>SUM('Mountaineer:Charles Town'!D20)</f>
        <v>1560555</v>
      </c>
      <c r="E20" s="9">
        <f>SUM('Mountaineer:Charles Town'!E20)</f>
        <v>8837902.8799999915</v>
      </c>
      <c r="F20" s="9">
        <f>SUM('Mountaineer:Charles Town'!F20)</f>
        <v>353516.13</v>
      </c>
      <c r="G20" s="9">
        <f>SUM('Mountaineer:Charles Town'!G20)</f>
        <v>0</v>
      </c>
      <c r="H20" s="9">
        <f>SUM('Mountaineer:Charles Town'!H20)</f>
        <v>8484386.7499999907</v>
      </c>
      <c r="I20" s="9">
        <f>SUM('Mountaineer:Charles Town'!I20)</f>
        <v>0</v>
      </c>
      <c r="J20" s="9">
        <f>SUM('Mountaineer:Charles Town'!J20)</f>
        <v>0</v>
      </c>
      <c r="K20" s="9">
        <f>SUM('Mountaineer:Charles Town'!K20)</f>
        <v>0</v>
      </c>
      <c r="L20" s="9">
        <f>SUM('Mountaineer:Charles Town'!L20)</f>
        <v>8484386.7499999907</v>
      </c>
      <c r="M20" s="9">
        <f>SUM('Mountaineer:Charles Town'!M20)</f>
        <v>3945239.84</v>
      </c>
      <c r="N20" s="9">
        <f>SUM('Mountaineer:Charles Town'!N20)</f>
        <v>2545316.02</v>
      </c>
      <c r="O20" s="9">
        <f>SUM('Mountaineer:Charles Town'!O20)</f>
        <v>1090243.73</v>
      </c>
      <c r="P20" s="9">
        <f>SUM('Mountaineer:Charles Town'!P20)</f>
        <v>534516.36</v>
      </c>
      <c r="Q20" s="9">
        <f>SUM('Mountaineer:Charles Town'!Q20)</f>
        <v>84843.86</v>
      </c>
      <c r="R20" s="9">
        <f>SUM('Mountaineer:Charles Town'!R20)</f>
        <v>57269.61</v>
      </c>
      <c r="S20" s="9">
        <f>SUM('Mountaineer:Charles Town'!S20)</f>
        <v>57269.61</v>
      </c>
      <c r="T20" s="9">
        <f>SUM('Mountaineer:Charles Town'!T20)</f>
        <v>122192.52</v>
      </c>
      <c r="U20" s="9">
        <f>SUM('Mountaineer:Charles Town'!U20)</f>
        <v>47495.199999999997</v>
      </c>
      <c r="V20" s="9">
        <f>SUM('Mountaineer:Charles Town'!V20)</f>
        <v>6981.3668043258604</v>
      </c>
      <c r="W20" s="7">
        <f>SUM('Mountaineer:Charles Town'!W20)</f>
        <v>4575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44485</v>
      </c>
      <c r="B21" s="9">
        <f>SUM('Mountaineer:Charles Town'!B21)</f>
        <v>101962258.29000002</v>
      </c>
      <c r="C21" s="9">
        <f>SUM('Mountaineer:Charles Town'!C21)</f>
        <v>91305943.030000001</v>
      </c>
      <c r="D21" s="9">
        <f>SUM('Mountaineer:Charles Town'!D21)</f>
        <v>1435303</v>
      </c>
      <c r="E21" s="9">
        <f>SUM('Mountaineer:Charles Town'!E21)</f>
        <v>9221012.2600000091</v>
      </c>
      <c r="F21" s="9">
        <f>SUM('Mountaineer:Charles Town'!F21)</f>
        <v>368840.47</v>
      </c>
      <c r="G21" s="9">
        <f>SUM('Mountaineer:Charles Town'!G21)</f>
        <v>0</v>
      </c>
      <c r="H21" s="9">
        <f>SUM('Mountaineer:Charles Town'!H21)</f>
        <v>8852171.7900000103</v>
      </c>
      <c r="I21" s="9">
        <f>SUM('Mountaineer:Charles Town'!I21)</f>
        <v>0</v>
      </c>
      <c r="J21" s="9">
        <f>SUM('Mountaineer:Charles Town'!J21)</f>
        <v>0</v>
      </c>
      <c r="K21" s="9">
        <f>SUM('Mountaineer:Charles Town'!K21)</f>
        <v>0</v>
      </c>
      <c r="L21" s="9">
        <f>SUM('Mountaineer:Charles Town'!L21)</f>
        <v>8852171.7900000103</v>
      </c>
      <c r="M21" s="9">
        <f>SUM('Mountaineer:Charles Town'!M21)</f>
        <v>4116259.88</v>
      </c>
      <c r="N21" s="9">
        <f>SUM('Mountaineer:Charles Town'!N21)</f>
        <v>2655651.52</v>
      </c>
      <c r="O21" s="9">
        <f>SUM('Mountaineer:Charles Town'!O21)</f>
        <v>1137504.0900000001</v>
      </c>
      <c r="P21" s="9">
        <f>SUM('Mountaineer:Charles Town'!P21)</f>
        <v>557686.81999999995</v>
      </c>
      <c r="Q21" s="9">
        <f>SUM('Mountaineer:Charles Town'!Q21)</f>
        <v>88521.72</v>
      </c>
      <c r="R21" s="9">
        <f>SUM('Mountaineer:Charles Town'!R21)</f>
        <v>59752.159999999989</v>
      </c>
      <c r="S21" s="9">
        <f>SUM('Mountaineer:Charles Town'!S21)</f>
        <v>59752.159999999989</v>
      </c>
      <c r="T21" s="9">
        <f>SUM('Mountaineer:Charles Town'!T21)</f>
        <v>127946.84</v>
      </c>
      <c r="U21" s="9">
        <f>SUM('Mountaineer:Charles Town'!U21)</f>
        <v>49096.6</v>
      </c>
      <c r="V21" s="9">
        <f>SUM('Mountaineer:Charles Town'!V21)</f>
        <v>7217.1908169745075</v>
      </c>
      <c r="W21" s="7">
        <f>SUM('Mountaineer:Charles Town'!W21)</f>
        <v>4589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44492</v>
      </c>
      <c r="B22" s="9">
        <f>SUM('Mountaineer:Charles Town'!B22)</f>
        <v>102901755.58</v>
      </c>
      <c r="C22" s="9">
        <f>SUM('Mountaineer:Charles Town'!C22)</f>
        <v>92368499.74000001</v>
      </c>
      <c r="D22" s="9">
        <f>SUM('Mountaineer:Charles Town'!D22)</f>
        <v>1514521</v>
      </c>
      <c r="E22" s="9">
        <f>SUM('Mountaineer:Charles Town'!E22)</f>
        <v>9018734.8399999924</v>
      </c>
      <c r="F22" s="9">
        <f>SUM('Mountaineer:Charles Town'!F22)</f>
        <v>360749.4</v>
      </c>
      <c r="G22" s="9">
        <f>SUM('Mountaineer:Charles Town'!G22)</f>
        <v>0</v>
      </c>
      <c r="H22" s="9">
        <f>SUM('Mountaineer:Charles Town'!H22)</f>
        <v>8657985.439999992</v>
      </c>
      <c r="I22" s="9">
        <f>SUM('Mountaineer:Charles Town'!I22)</f>
        <v>0</v>
      </c>
      <c r="J22" s="9">
        <f>SUM('Mountaineer:Charles Town'!J22)</f>
        <v>0</v>
      </c>
      <c r="K22" s="9">
        <f>SUM('Mountaineer:Charles Town'!K22)</f>
        <v>0</v>
      </c>
      <c r="L22" s="9">
        <f>SUM('Mountaineer:Charles Town'!L22)</f>
        <v>8657985.439999992</v>
      </c>
      <c r="M22" s="9">
        <f>SUM('Mountaineer:Charles Town'!M22)</f>
        <v>4025963.22</v>
      </c>
      <c r="N22" s="9">
        <f>SUM('Mountaineer:Charles Town'!N22)</f>
        <v>2597395.61</v>
      </c>
      <c r="O22" s="9">
        <f>SUM('Mountaineer:Charles Town'!O22)</f>
        <v>1112551.1399999999</v>
      </c>
      <c r="P22" s="9">
        <f>SUM('Mountaineer:Charles Town'!P22)</f>
        <v>545453.09</v>
      </c>
      <c r="Q22" s="9">
        <f>SUM('Mountaineer:Charles Town'!Q22)</f>
        <v>86579.86</v>
      </c>
      <c r="R22" s="9">
        <f>SUM('Mountaineer:Charles Town'!R22)</f>
        <v>58441.399999999994</v>
      </c>
      <c r="S22" s="9">
        <f>SUM('Mountaineer:Charles Town'!S22)</f>
        <v>58441.399999999994</v>
      </c>
      <c r="T22" s="9">
        <f>SUM('Mountaineer:Charles Town'!T22)</f>
        <v>125522.28</v>
      </c>
      <c r="U22" s="9">
        <f>SUM('Mountaineer:Charles Town'!U22)</f>
        <v>47637.440000000002</v>
      </c>
      <c r="V22" s="9">
        <f>SUM('Mountaineer:Charles Town'!V22)</f>
        <v>7296.755553290699</v>
      </c>
      <c r="W22" s="7">
        <f>SUM('Mountaineer:Charles Town'!W22)</f>
        <v>4485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44499</v>
      </c>
      <c r="B23" s="9">
        <f>SUM('Mountaineer:Charles Town'!B23)</f>
        <v>102984116.89</v>
      </c>
      <c r="C23" s="9">
        <f>SUM('Mountaineer:Charles Town'!C23)</f>
        <v>92345905.799999997</v>
      </c>
      <c r="D23" s="9">
        <f>SUM('Mountaineer:Charles Town'!D23)</f>
        <v>1462149</v>
      </c>
      <c r="E23" s="9">
        <f>SUM('Mountaineer:Charles Town'!E23)</f>
        <v>9176062.0900000036</v>
      </c>
      <c r="F23" s="9">
        <f>SUM('Mountaineer:Charles Town'!F23)</f>
        <v>367042.49</v>
      </c>
      <c r="G23" s="9">
        <f>SUM('Mountaineer:Charles Town'!G23)</f>
        <v>0</v>
      </c>
      <c r="H23" s="9">
        <f>SUM('Mountaineer:Charles Town'!H23)</f>
        <v>8809019.6000000034</v>
      </c>
      <c r="I23" s="9">
        <f>SUM('Mountaineer:Charles Town'!I23)</f>
        <v>0</v>
      </c>
      <c r="J23" s="9">
        <f>SUM('Mountaineer:Charles Town'!J23)</f>
        <v>0</v>
      </c>
      <c r="K23" s="9">
        <f>SUM('Mountaineer:Charles Town'!K23)</f>
        <v>0</v>
      </c>
      <c r="L23" s="9">
        <f>SUM('Mountaineer:Charles Town'!L23)</f>
        <v>8809019.6000000034</v>
      </c>
      <c r="M23" s="9">
        <f>SUM('Mountaineer:Charles Town'!M23)</f>
        <v>4096194.12</v>
      </c>
      <c r="N23" s="9">
        <f>SUM('Mountaineer:Charles Town'!N23)</f>
        <v>2642705.85</v>
      </c>
      <c r="O23" s="9">
        <f>SUM('Mountaineer:Charles Town'!O23)</f>
        <v>1131959.03</v>
      </c>
      <c r="P23" s="9">
        <f>SUM('Mountaineer:Charles Town'!P23)</f>
        <v>554968.24</v>
      </c>
      <c r="Q23" s="9">
        <f>SUM('Mountaineer:Charles Town'!Q23)</f>
        <v>88090.200000000012</v>
      </c>
      <c r="R23" s="9">
        <f>SUM('Mountaineer:Charles Town'!R23)</f>
        <v>59460.880000000005</v>
      </c>
      <c r="S23" s="9">
        <f>SUM('Mountaineer:Charles Town'!S23)</f>
        <v>59460.880000000005</v>
      </c>
      <c r="T23" s="9">
        <f>SUM('Mountaineer:Charles Town'!T23)</f>
        <v>126891.54</v>
      </c>
      <c r="U23" s="9">
        <f>SUM('Mountaineer:Charles Town'!U23)</f>
        <v>49288.86</v>
      </c>
      <c r="V23" s="9">
        <f>SUM('Mountaineer:Charles Town'!V23)</f>
        <v>7394.2945171972469</v>
      </c>
      <c r="W23" s="7">
        <f>SUM('Mountaineer:Charles Town'!W23)</f>
        <v>4469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44506</v>
      </c>
      <c r="B24" s="9">
        <f>SUM('Mountaineer:Charles Town'!B24)</f>
        <v>100444261.53</v>
      </c>
      <c r="C24" s="9">
        <f>SUM('Mountaineer:Charles Town'!C24)</f>
        <v>90088942.590000004</v>
      </c>
      <c r="D24" s="9">
        <f>SUM('Mountaineer:Charles Town'!D24)</f>
        <v>1449358</v>
      </c>
      <c r="E24" s="9">
        <f>SUM('Mountaineer:Charles Town'!E24)</f>
        <v>8905960.9399999958</v>
      </c>
      <c r="F24" s="9">
        <f>SUM('Mountaineer:Charles Town'!F24)</f>
        <v>356238.44999999995</v>
      </c>
      <c r="G24" s="9">
        <f>SUM('Mountaineer:Charles Town'!G24)</f>
        <v>0</v>
      </c>
      <c r="H24" s="9">
        <f>SUM('Mountaineer:Charles Town'!H24)</f>
        <v>8549722.4899999946</v>
      </c>
      <c r="I24" s="9">
        <f>SUM('Mountaineer:Charles Town'!I24)</f>
        <v>0</v>
      </c>
      <c r="J24" s="9">
        <f>SUM('Mountaineer:Charles Town'!J24)</f>
        <v>0</v>
      </c>
      <c r="K24" s="9">
        <f>SUM('Mountaineer:Charles Town'!K24)</f>
        <v>0</v>
      </c>
      <c r="L24" s="9">
        <f>SUM('Mountaineer:Charles Town'!L24)</f>
        <v>8549722.4899999946</v>
      </c>
      <c r="M24" s="9">
        <f>SUM('Mountaineer:Charles Town'!M24)</f>
        <v>3975620.96</v>
      </c>
      <c r="N24" s="9">
        <f>SUM('Mountaineer:Charles Town'!N24)</f>
        <v>2564916.77</v>
      </c>
      <c r="O24" s="9">
        <f>SUM('Mountaineer:Charles Town'!O24)</f>
        <v>1098639.3199999998</v>
      </c>
      <c r="P24" s="9">
        <f>SUM('Mountaineer:Charles Town'!P24)</f>
        <v>538632.52</v>
      </c>
      <c r="Q24" s="9">
        <f>SUM('Mountaineer:Charles Town'!Q24)</f>
        <v>85497.22</v>
      </c>
      <c r="R24" s="9">
        <f>SUM('Mountaineer:Charles Town'!R24)</f>
        <v>57710.630000000005</v>
      </c>
      <c r="S24" s="9">
        <f>SUM('Mountaineer:Charles Town'!S24)</f>
        <v>57710.630000000005</v>
      </c>
      <c r="T24" s="9">
        <f>SUM('Mountaineer:Charles Town'!T24)</f>
        <v>122866.32</v>
      </c>
      <c r="U24" s="9">
        <f>SUM('Mountaineer:Charles Town'!U24)</f>
        <v>48128.12</v>
      </c>
      <c r="V24" s="9">
        <f>SUM('Mountaineer:Charles Town'!V24)</f>
        <v>7112.653070819244</v>
      </c>
      <c r="W24" s="7">
        <f>SUM('Mountaineer:Charles Town'!W24)</f>
        <v>4482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44513</v>
      </c>
      <c r="B25" s="9">
        <f>SUM('Mountaineer:Charles Town'!B25)</f>
        <v>101438002.84999999</v>
      </c>
      <c r="C25" s="9">
        <f>SUM('Mountaineer:Charles Town'!C25)</f>
        <v>91069872.5</v>
      </c>
      <c r="D25" s="9">
        <f>SUM('Mountaineer:Charles Town'!D25)</f>
        <v>1421500</v>
      </c>
      <c r="E25" s="9">
        <f>SUM('Mountaineer:Charles Town'!E25)</f>
        <v>8946630.3500000015</v>
      </c>
      <c r="F25" s="9">
        <f>SUM('Mountaineer:Charles Town'!F25)</f>
        <v>357865.20999999996</v>
      </c>
      <c r="G25" s="9">
        <f>SUM('Mountaineer:Charles Town'!G25)</f>
        <v>0</v>
      </c>
      <c r="H25" s="9">
        <f>SUM('Mountaineer:Charles Town'!H25)</f>
        <v>8588765.1400000006</v>
      </c>
      <c r="I25" s="9">
        <f>SUM('Mountaineer:Charles Town'!I25)</f>
        <v>0</v>
      </c>
      <c r="J25" s="9">
        <f>SUM('Mountaineer:Charles Town'!J25)</f>
        <v>0</v>
      </c>
      <c r="K25" s="9">
        <f>SUM('Mountaineer:Charles Town'!K25)</f>
        <v>0</v>
      </c>
      <c r="L25" s="66">
        <f>SUM('Mountaineer:Charles Town'!L25)</f>
        <v>8588765.1400000006</v>
      </c>
      <c r="M25" s="9">
        <f>SUM('Mountaineer:Charles Town'!M25)</f>
        <v>3993775.8000000003</v>
      </c>
      <c r="N25" s="9">
        <f>SUM('Mountaineer:Charles Town'!N25)</f>
        <v>2576629.48</v>
      </c>
      <c r="O25" s="9">
        <f>SUM('Mountaineer:Charles Town'!O25)</f>
        <v>1103656.3399999999</v>
      </c>
      <c r="P25" s="9">
        <f>SUM('Mountaineer:Charles Town'!P25)</f>
        <v>541092.19999999995</v>
      </c>
      <c r="Q25" s="9">
        <f>SUM('Mountaineer:Charles Town'!Q25)</f>
        <v>85887.66</v>
      </c>
      <c r="R25" s="9">
        <f>SUM('Mountaineer:Charles Town'!R25)</f>
        <v>57974.17</v>
      </c>
      <c r="S25" s="9">
        <f>SUM('Mountaineer:Charles Town'!S25)</f>
        <v>57974.17</v>
      </c>
      <c r="T25" s="9">
        <f>SUM('Mountaineer:Charles Town'!T25)</f>
        <v>123656.98000000001</v>
      </c>
      <c r="U25" s="9">
        <f>SUM('Mountaineer:Charles Town'!U25)</f>
        <v>48118.340000000004</v>
      </c>
      <c r="V25" s="9">
        <f>SUM('Mountaineer:Charles Town'!V25)</f>
        <v>7106.3385231119864</v>
      </c>
      <c r="W25" s="7">
        <f>SUM('Mountaineer:Charles Town'!W25)</f>
        <v>4509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44520</v>
      </c>
      <c r="B26" s="9">
        <f>SUM('Mountaineer:Charles Town'!B26)</f>
        <v>95575317.789999992</v>
      </c>
      <c r="C26" s="9">
        <f>SUM('Mountaineer:Charles Town'!C26)</f>
        <v>86034789.530000001</v>
      </c>
      <c r="D26" s="9">
        <f>SUM('Mountaineer:Charles Town'!D26)</f>
        <v>1376861</v>
      </c>
      <c r="E26" s="9">
        <f>SUM('Mountaineer:Charles Town'!E26)</f>
        <v>8163667.2600000035</v>
      </c>
      <c r="F26" s="9">
        <f>SUM('Mountaineer:Charles Town'!F26)</f>
        <v>326546.69999999995</v>
      </c>
      <c r="G26" s="9">
        <f>SUM('Mountaineer:Charles Town'!G26)</f>
        <v>0</v>
      </c>
      <c r="H26" s="9">
        <f>SUM('Mountaineer:Charles Town'!H26)</f>
        <v>7837120.5600000042</v>
      </c>
      <c r="I26" s="9">
        <f>SUM('Mountaineer:Charles Town'!I26)</f>
        <v>0</v>
      </c>
      <c r="J26" s="9">
        <f>SUM('Mountaineer:Charles Town'!J26)</f>
        <v>0</v>
      </c>
      <c r="K26" s="9">
        <f>SUM('Mountaineer:Charles Town'!K26)</f>
        <v>0</v>
      </c>
      <c r="L26" s="66">
        <f>SUM('Mountaineer:Charles Town'!L26)</f>
        <v>7837120.5600000042</v>
      </c>
      <c r="M26" s="9">
        <f>SUM('Mountaineer:Charles Town'!M26)</f>
        <v>3644261.0700000003</v>
      </c>
      <c r="N26" s="9">
        <f>SUM('Mountaineer:Charles Town'!N26)</f>
        <v>2351136.2000000002</v>
      </c>
      <c r="O26" s="9">
        <f>SUM('Mountaineer:Charles Town'!O26)</f>
        <v>1007069.97</v>
      </c>
      <c r="P26" s="9">
        <f>SUM('Mountaineer:Charles Town'!P26)</f>
        <v>493738.6</v>
      </c>
      <c r="Q26" s="9">
        <f>SUM('Mountaineer:Charles Town'!Q26)</f>
        <v>78371.199999999997</v>
      </c>
      <c r="R26" s="9">
        <f>SUM('Mountaineer:Charles Town'!R26)</f>
        <v>52900.56</v>
      </c>
      <c r="S26" s="9">
        <f>SUM('Mountaineer:Charles Town'!S26)</f>
        <v>52900.56</v>
      </c>
      <c r="T26" s="9">
        <f>SUM('Mountaineer:Charles Town'!T26)</f>
        <v>114147.06</v>
      </c>
      <c r="U26" s="9">
        <f>SUM('Mountaineer:Charles Town'!U26)</f>
        <v>42595.34</v>
      </c>
      <c r="V26" s="9">
        <f>SUM('Mountaineer:Charles Town'!V26)</f>
        <v>6735.3062650772017</v>
      </c>
      <c r="W26" s="7">
        <f>SUM('Mountaineer:Charles Town'!W26)</f>
        <v>4423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44527</v>
      </c>
      <c r="B27" s="9">
        <f>SUM('Mountaineer:Charles Town'!B27)</f>
        <v>105531083.02</v>
      </c>
      <c r="C27" s="9">
        <f>SUM('Mountaineer:Charles Town'!C27)</f>
        <v>94788682.469999999</v>
      </c>
      <c r="D27" s="9">
        <f>SUM('Mountaineer:Charles Town'!D27)</f>
        <v>1402301</v>
      </c>
      <c r="E27" s="9">
        <f>SUM('Mountaineer:Charles Town'!E27)</f>
        <v>9340099.5499999933</v>
      </c>
      <c r="F27" s="9">
        <f>SUM('Mountaineer:Charles Town'!F27)</f>
        <v>373604</v>
      </c>
      <c r="G27" s="9">
        <f>SUM('Mountaineer:Charles Town'!G27)</f>
        <v>0</v>
      </c>
      <c r="H27" s="9">
        <f>SUM('Mountaineer:Charles Town'!H27)</f>
        <v>8966495.5499999933</v>
      </c>
      <c r="I27" s="9">
        <f>SUM('Mountaineer:Charles Town'!I27)</f>
        <v>0</v>
      </c>
      <c r="J27" s="9">
        <f>SUM('Mountaineer:Charles Town'!J27)</f>
        <v>0</v>
      </c>
      <c r="K27" s="9">
        <f>SUM('Mountaineer:Charles Town'!K27)</f>
        <v>0</v>
      </c>
      <c r="L27" s="66">
        <f>SUM('Mountaineer:Charles Town'!L27)</f>
        <v>8966495.5499999933</v>
      </c>
      <c r="M27" s="9">
        <f>SUM('Mountaineer:Charles Town'!M27)</f>
        <v>4169420.44</v>
      </c>
      <c r="N27" s="9">
        <f>SUM('Mountaineer:Charles Town'!N27)</f>
        <v>2689948.63</v>
      </c>
      <c r="O27" s="9">
        <f>SUM('Mountaineer:Charles Town'!O27)</f>
        <v>1152194.67</v>
      </c>
      <c r="P27" s="9">
        <f>SUM('Mountaineer:Charles Town'!P27)</f>
        <v>564889.23</v>
      </c>
      <c r="Q27" s="9">
        <f>SUM('Mountaineer:Charles Town'!Q27)</f>
        <v>89664.959999999992</v>
      </c>
      <c r="R27" s="9">
        <f>SUM('Mountaineer:Charles Town'!R27)</f>
        <v>60523.850000000006</v>
      </c>
      <c r="S27" s="9">
        <f>SUM('Mountaineer:Charles Town'!S27)</f>
        <v>60523.850000000006</v>
      </c>
      <c r="T27" s="9">
        <f>SUM('Mountaineer:Charles Town'!T27)</f>
        <v>128558.54000000001</v>
      </c>
      <c r="U27" s="9">
        <f>SUM('Mountaineer:Charles Town'!U27)</f>
        <v>50771.38</v>
      </c>
      <c r="V27" s="9">
        <f>SUM('Mountaineer:Charles Town'!V27)</f>
        <v>7336.2062806442118</v>
      </c>
      <c r="W27" s="7">
        <f>SUM('Mountaineer:Charles Town'!W27)</f>
        <v>4567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44534</v>
      </c>
      <c r="B28" s="9">
        <f>SUM('Mountaineer:Charles Town'!B28)</f>
        <v>94944719.50999999</v>
      </c>
      <c r="C28" s="9">
        <f>SUM('Mountaineer:Charles Town'!C28)</f>
        <v>85450877.480000004</v>
      </c>
      <c r="D28" s="9">
        <f>SUM('Mountaineer:Charles Town'!D28)</f>
        <v>1365778</v>
      </c>
      <c r="E28" s="9">
        <f>SUM('Mountaineer:Charles Town'!E28)</f>
        <v>8128064.0299999975</v>
      </c>
      <c r="F28" s="9">
        <f>SUM('Mountaineer:Charles Town'!F28)</f>
        <v>325122.55000000005</v>
      </c>
      <c r="G28" s="9">
        <f>SUM('Mountaineer:Charles Town'!G28)</f>
        <v>0</v>
      </c>
      <c r="H28" s="9">
        <f>SUM('Mountaineer:Charles Town'!H28)</f>
        <v>7802941.4799999967</v>
      </c>
      <c r="I28" s="9">
        <f>SUM('Mountaineer:Charles Town'!I28)</f>
        <v>0</v>
      </c>
      <c r="J28" s="9">
        <f>SUM('Mountaineer:Charles Town'!J28)</f>
        <v>0</v>
      </c>
      <c r="K28" s="9">
        <f>SUM('Mountaineer:Charles Town'!K28)</f>
        <v>0</v>
      </c>
      <c r="L28" s="66">
        <f>SUM('Mountaineer:Charles Town'!L28)</f>
        <v>7802941.4799999967</v>
      </c>
      <c r="M28" s="9">
        <f>SUM('Mountaineer:Charles Town'!M28)</f>
        <v>3628367.79</v>
      </c>
      <c r="N28" s="9">
        <f>SUM('Mountaineer:Charles Town'!N28)</f>
        <v>2340882.42</v>
      </c>
      <c r="O28" s="9">
        <f>SUM('Mountaineer:Charles Town'!O28)</f>
        <v>1002677.97</v>
      </c>
      <c r="P28" s="9">
        <f>SUM('Mountaineer:Charles Town'!P28)</f>
        <v>491585.32000000007</v>
      </c>
      <c r="Q28" s="9">
        <f>SUM('Mountaineer:Charles Town'!Q28)</f>
        <v>78029.42</v>
      </c>
      <c r="R28" s="9">
        <f>SUM('Mountaineer:Charles Town'!R28)</f>
        <v>52669.86</v>
      </c>
      <c r="S28" s="9">
        <f>SUM('Mountaineer:Charles Town'!S28)</f>
        <v>52669.86</v>
      </c>
      <c r="T28" s="9">
        <f>SUM('Mountaineer:Charles Town'!T28)</f>
        <v>112935.42</v>
      </c>
      <c r="U28" s="9">
        <f>SUM('Mountaineer:Charles Town'!U28)</f>
        <v>43123.42</v>
      </c>
      <c r="V28" s="9">
        <f>SUM('Mountaineer:Charles Town'!V28)</f>
        <v>6456.8757738287695</v>
      </c>
      <c r="W28" s="7">
        <f>SUM('Mountaineer:Charles Town'!W28)</f>
        <v>4573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44541</v>
      </c>
      <c r="B29" s="9">
        <f>SUM('Mountaineer:Charles Town'!B29)</f>
        <v>91782605.549999997</v>
      </c>
      <c r="C29" s="9">
        <f>SUM('Mountaineer:Charles Town'!C29)</f>
        <v>82786362.370000005</v>
      </c>
      <c r="D29" s="9">
        <f>SUM('Mountaineer:Charles Town'!D29)</f>
        <v>1249618</v>
      </c>
      <c r="E29" s="9">
        <f>SUM('Mountaineer:Charles Town'!E29)</f>
        <v>7746625.1799999997</v>
      </c>
      <c r="F29" s="9">
        <f>SUM('Mountaineer:Charles Town'!F29)</f>
        <v>309865.02</v>
      </c>
      <c r="G29" s="9">
        <f>SUM('Mountaineer:Charles Town'!G29)</f>
        <v>0</v>
      </c>
      <c r="H29" s="9">
        <f>SUM('Mountaineer:Charles Town'!H29)</f>
        <v>7436760.1600000001</v>
      </c>
      <c r="I29" s="9">
        <f>SUM('Mountaineer:Charles Town'!I29)</f>
        <v>0</v>
      </c>
      <c r="J29" s="9">
        <f>SUM('Mountaineer:Charles Town'!J29)</f>
        <v>0</v>
      </c>
      <c r="K29" s="9">
        <f>SUM('Mountaineer:Charles Town'!K29)</f>
        <v>0</v>
      </c>
      <c r="L29" s="66">
        <f>SUM('Mountaineer:Charles Town'!L29)</f>
        <v>7436760.1600000001</v>
      </c>
      <c r="M29" s="9">
        <f>SUM('Mountaineer:Charles Town'!M29)</f>
        <v>3458093.48</v>
      </c>
      <c r="N29" s="9">
        <f>SUM('Mountaineer:Charles Town'!N29)</f>
        <v>2231027.9400000004</v>
      </c>
      <c r="O29" s="9">
        <f>SUM('Mountaineer:Charles Town'!O29)</f>
        <v>955623.72</v>
      </c>
      <c r="P29" s="9">
        <f>SUM('Mountaineer:Charles Town'!P29)</f>
        <v>468515.9</v>
      </c>
      <c r="Q29" s="9">
        <f>SUM('Mountaineer:Charles Town'!Q29)</f>
        <v>74367.62</v>
      </c>
      <c r="R29" s="9">
        <f>SUM('Mountaineer:Charles Town'!R29)</f>
        <v>50198.130000000005</v>
      </c>
      <c r="S29" s="9">
        <f>SUM('Mountaineer:Charles Town'!S29)</f>
        <v>50198.130000000005</v>
      </c>
      <c r="T29" s="9">
        <f>SUM('Mountaineer:Charles Town'!T29)</f>
        <v>107280.82</v>
      </c>
      <c r="U29" s="9">
        <f>SUM('Mountaineer:Charles Town'!U29)</f>
        <v>41454.420000000006</v>
      </c>
      <c r="V29" s="9">
        <f>SUM('Mountaineer:Charles Town'!V29)</f>
        <v>6164.0408806434534</v>
      </c>
      <c r="W29" s="7">
        <f>SUM('Mountaineer:Charles Town'!W29)</f>
        <v>4510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44548</v>
      </c>
      <c r="B30" s="9">
        <f>SUM('Mountaineer:Charles Town'!B30)</f>
        <v>93377410.24000001</v>
      </c>
      <c r="C30" s="9">
        <f>SUM('Mountaineer:Charles Town'!C30)</f>
        <v>84332140.770000011</v>
      </c>
      <c r="D30" s="9">
        <f>SUM('Mountaineer:Charles Town'!D30)</f>
        <v>1309036</v>
      </c>
      <c r="E30" s="9">
        <f>SUM('Mountaineer:Charles Town'!E30)</f>
        <v>7736233.4700000025</v>
      </c>
      <c r="F30" s="9">
        <f>SUM('Mountaineer:Charles Town'!F30)</f>
        <v>309449.33999999997</v>
      </c>
      <c r="G30" s="9">
        <f>SUM('Mountaineer:Charles Town'!G30)</f>
        <v>0</v>
      </c>
      <c r="H30" s="9">
        <f>SUM('Mountaineer:Charles Town'!H30)</f>
        <v>7426784.1300000027</v>
      </c>
      <c r="I30" s="9">
        <f>SUM('Mountaineer:Charles Town'!I30)</f>
        <v>0</v>
      </c>
      <c r="J30" s="9">
        <f>SUM('Mountaineer:Charles Town'!J30)</f>
        <v>0</v>
      </c>
      <c r="K30" s="9">
        <f>SUM('Mountaineer:Charles Town'!K30)</f>
        <v>0</v>
      </c>
      <c r="L30" s="66">
        <f>SUM('Mountaineer:Charles Town'!L30)</f>
        <v>7426784.1300000027</v>
      </c>
      <c r="M30" s="9">
        <f>SUM('Mountaineer:Charles Town'!M30)</f>
        <v>3453454.63</v>
      </c>
      <c r="N30" s="9">
        <f>SUM('Mountaineer:Charles Town'!N30)</f>
        <v>2228035.23</v>
      </c>
      <c r="O30" s="9">
        <f>SUM('Mountaineer:Charles Town'!O30)</f>
        <v>954341.77</v>
      </c>
      <c r="P30" s="9">
        <f>SUM('Mountaineer:Charles Town'!P30)</f>
        <v>467887.4</v>
      </c>
      <c r="Q30" s="9">
        <f>SUM('Mountaineer:Charles Town'!Q30)</f>
        <v>74267.839999999997</v>
      </c>
      <c r="R30" s="9">
        <f>SUM('Mountaineer:Charles Town'!R30)</f>
        <v>50130.79</v>
      </c>
      <c r="S30" s="9">
        <f>SUM('Mountaineer:Charles Town'!S30)</f>
        <v>50130.79</v>
      </c>
      <c r="T30" s="9">
        <f>SUM('Mountaineer:Charles Town'!T30)</f>
        <v>109596.94</v>
      </c>
      <c r="U30" s="9">
        <f>SUM('Mountaineer:Charles Town'!U30)</f>
        <v>38938.74</v>
      </c>
      <c r="V30" s="9">
        <f>SUM('Mountaineer:Charles Town'!V30)</f>
        <v>6227.2372108069567</v>
      </c>
      <c r="W30" s="7">
        <f>SUM('Mountaineer:Charles Town'!W30)</f>
        <v>4563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44555</v>
      </c>
      <c r="B31" s="9">
        <f>SUM('Mountaineer:Charles Town'!B31)</f>
        <v>90675835.079999998</v>
      </c>
      <c r="C31" s="9">
        <f>SUM('Mountaineer:Charles Town'!C31)</f>
        <v>81649185.560000002</v>
      </c>
      <c r="D31" s="9">
        <f>SUM('Mountaineer:Charles Town'!D31)</f>
        <v>1215250</v>
      </c>
      <c r="E31" s="9">
        <f>SUM('Mountaineer:Charles Town'!E31)</f>
        <v>7811399.5199999977</v>
      </c>
      <c r="F31" s="9">
        <f>SUM('Mountaineer:Charles Town'!F31)</f>
        <v>312455.99</v>
      </c>
      <c r="G31" s="9">
        <f>SUM('Mountaineer:Charles Town'!G31)</f>
        <v>0</v>
      </c>
      <c r="H31" s="9">
        <f>SUM('Mountaineer:Charles Town'!H31)</f>
        <v>7498943.5299999975</v>
      </c>
      <c r="I31" s="9">
        <f>SUM('Mountaineer:Charles Town'!I31)</f>
        <v>0</v>
      </c>
      <c r="J31" s="9">
        <f>SUM('Mountaineer:Charles Town'!J31)</f>
        <v>0</v>
      </c>
      <c r="K31" s="9">
        <f>SUM('Mountaineer:Charles Town'!K31)</f>
        <v>0</v>
      </c>
      <c r="L31" s="66">
        <f>SUM('Mountaineer:Charles Town'!L31)</f>
        <v>7498943.5299999975</v>
      </c>
      <c r="M31" s="9">
        <f>SUM('Mountaineer:Charles Town'!M31)</f>
        <v>3487008.75</v>
      </c>
      <c r="N31" s="9">
        <f>SUM('Mountaineer:Charles Town'!N31)</f>
        <v>2249683.0300000003</v>
      </c>
      <c r="O31" s="9">
        <f>SUM('Mountaineer:Charles Town'!O31)</f>
        <v>963614.26</v>
      </c>
      <c r="P31" s="9">
        <f>SUM('Mountaineer:Charles Town'!P31)</f>
        <v>472433.43000000005</v>
      </c>
      <c r="Q31" s="9">
        <f>SUM('Mountaineer:Charles Town'!Q31)</f>
        <v>74989.440000000002</v>
      </c>
      <c r="R31" s="9">
        <f>SUM('Mountaineer:Charles Town'!R31)</f>
        <v>50617.869999999995</v>
      </c>
      <c r="S31" s="9">
        <f>SUM('Mountaineer:Charles Town'!S31)</f>
        <v>50617.869999999995</v>
      </c>
      <c r="T31" s="9">
        <f>SUM('Mountaineer:Charles Town'!T31)</f>
        <v>102467.01000000001</v>
      </c>
      <c r="U31" s="9">
        <f>SUM('Mountaineer:Charles Town'!U31)</f>
        <v>47511.87</v>
      </c>
      <c r="V31" s="9">
        <f>SUM('Mountaineer:Charles Town'!V31)</f>
        <v>6033.608528944641</v>
      </c>
      <c r="W31" s="7">
        <f>SUM('Mountaineer:Charles Town'!W31)</f>
        <v>4610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44562</v>
      </c>
      <c r="B32" s="9">
        <f>SUM('Mountaineer:Charles Town'!B32)</f>
        <v>141758138.47999999</v>
      </c>
      <c r="C32" s="9">
        <f>SUM('Mountaineer:Charles Town'!C32)</f>
        <v>127594835.37000002</v>
      </c>
      <c r="D32" s="9">
        <f>SUM('Mountaineer:Charles Town'!D32)</f>
        <v>1672863</v>
      </c>
      <c r="E32" s="9">
        <f>SUM('Mountaineer:Charles Town'!E32)</f>
        <v>12490440.109999973</v>
      </c>
      <c r="F32" s="9">
        <f>SUM('Mountaineer:Charles Town'!F32)</f>
        <v>499617.58000000007</v>
      </c>
      <c r="G32" s="9">
        <f>SUM('Mountaineer:Charles Town'!G32)</f>
        <v>0</v>
      </c>
      <c r="H32" s="9">
        <f>SUM('Mountaineer:Charles Town'!H32)</f>
        <v>11990822.529999971</v>
      </c>
      <c r="I32" s="9">
        <f>SUM('Mountaineer:Charles Town'!I32)</f>
        <v>0</v>
      </c>
      <c r="J32" s="9">
        <f>SUM('Mountaineer:Charles Town'!J32)</f>
        <v>0</v>
      </c>
      <c r="K32" s="9">
        <f>SUM('Mountaineer:Charles Town'!K32)</f>
        <v>0</v>
      </c>
      <c r="L32" s="66">
        <f>SUM('Mountaineer:Charles Town'!L32)</f>
        <v>11990822.529999971</v>
      </c>
      <c r="M32" s="9">
        <f>SUM('Mountaineer:Charles Town'!M32)</f>
        <v>5575732.4699999997</v>
      </c>
      <c r="N32" s="9">
        <f>SUM('Mountaineer:Charles Town'!N32)</f>
        <v>3597246.71</v>
      </c>
      <c r="O32" s="9">
        <f>SUM('Mountaineer:Charles Town'!O32)</f>
        <v>1540820.69</v>
      </c>
      <c r="P32" s="9">
        <f>SUM('Mountaineer:Charles Town'!P32)</f>
        <v>755421.82</v>
      </c>
      <c r="Q32" s="9">
        <f>SUM('Mountaineer:Charles Town'!Q32)</f>
        <v>119908.24</v>
      </c>
      <c r="R32" s="9">
        <f>SUM('Mountaineer:Charles Town'!R32)</f>
        <v>80938.06</v>
      </c>
      <c r="S32" s="9">
        <f>SUM('Mountaineer:Charles Town'!S32)</f>
        <v>80938.06</v>
      </c>
      <c r="T32" s="9">
        <f>SUM('Mountaineer:Charles Town'!T32)</f>
        <v>162701.20000000001</v>
      </c>
      <c r="U32" s="9">
        <f>SUM('Mountaineer:Charles Town'!U32)</f>
        <v>77115.28</v>
      </c>
      <c r="V32" s="9">
        <f>SUM('Mountaineer:Charles Town'!V32)</f>
        <v>9926.8762588918762</v>
      </c>
      <c r="W32" s="7">
        <f>SUM('Mountaineer:Charles Town'!W32)</f>
        <v>4656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44569</v>
      </c>
      <c r="B33" s="9">
        <f>SUM('Mountaineer:Charles Town'!B33)</f>
        <v>81293319.74000001</v>
      </c>
      <c r="C33" s="9">
        <f>SUM('Mountaineer:Charles Town'!C33)</f>
        <v>72945402.739999995</v>
      </c>
      <c r="D33" s="9">
        <f>SUM('Mountaineer:Charles Town'!D33)</f>
        <v>1229695</v>
      </c>
      <c r="E33" s="9">
        <f>SUM('Mountaineer:Charles Town'!E33)</f>
        <v>7118222.0000000028</v>
      </c>
      <c r="F33" s="9">
        <f>SUM('Mountaineer:Charles Town'!F33)</f>
        <v>227292.25</v>
      </c>
      <c r="G33" s="9">
        <f>SUM('Mountaineer:Charles Town'!G33)</f>
        <v>57436.63</v>
      </c>
      <c r="H33" s="9">
        <f>SUM('Mountaineer:Charles Town'!H33)</f>
        <v>6833493.1200000029</v>
      </c>
      <c r="I33" s="9">
        <f>SUM('Mountaineer:Charles Town'!I33)</f>
        <v>0</v>
      </c>
      <c r="J33" s="9">
        <f>SUM('Mountaineer:Charles Town'!J33)</f>
        <v>0</v>
      </c>
      <c r="K33" s="9">
        <f>SUM('Mountaineer:Charles Town'!K33)</f>
        <v>0</v>
      </c>
      <c r="L33" s="66">
        <f>SUM('Mountaineer:Charles Town'!L33)</f>
        <v>6833493.1200000029</v>
      </c>
      <c r="M33" s="9">
        <f>SUM('Mountaineer:Charles Town'!M33)</f>
        <v>3177574.3</v>
      </c>
      <c r="N33" s="9">
        <f>SUM('Mountaineer:Charles Town'!N33)</f>
        <v>2050047.86</v>
      </c>
      <c r="O33" s="9">
        <f>SUM('Mountaineer:Charles Town'!O33)</f>
        <v>878103.92</v>
      </c>
      <c r="P33" s="9">
        <f>SUM('Mountaineer:Charles Town'!P33)</f>
        <v>430510.06</v>
      </c>
      <c r="Q33" s="9">
        <f>SUM('Mountaineer:Charles Town'!Q33)</f>
        <v>68334.94</v>
      </c>
      <c r="R33" s="9">
        <f>SUM('Mountaineer:Charles Town'!R33)</f>
        <v>46126.080000000002</v>
      </c>
      <c r="S33" s="9">
        <f>SUM('Mountaineer:Charles Town'!S33)</f>
        <v>46126.080000000002</v>
      </c>
      <c r="T33" s="9">
        <f>SUM('Mountaineer:Charles Town'!T33)</f>
        <v>86828.54</v>
      </c>
      <c r="U33" s="9">
        <f>SUM('Mountaineer:Charles Town'!U33)</f>
        <v>49841.34</v>
      </c>
      <c r="V33" s="9">
        <f>SUM('Mountaineer:Charles Town'!V33)</f>
        <v>5772.2813729050031</v>
      </c>
      <c r="W33" s="7">
        <f>SUM('Mountaineer:Charles Town'!W33)</f>
        <v>4455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44576</v>
      </c>
      <c r="B34" s="9">
        <f>SUM('Mountaineer:Charles Town'!B34)</f>
        <v>88404373.379999995</v>
      </c>
      <c r="C34" s="9">
        <f>SUM('Mountaineer:Charles Town'!C34)</f>
        <v>79444066.280000001</v>
      </c>
      <c r="D34" s="9">
        <f>SUM('Mountaineer:Charles Town'!D34)</f>
        <v>1317261</v>
      </c>
      <c r="E34" s="9">
        <f>SUM('Mountaineer:Charles Town'!E34)</f>
        <v>7643046.1000000108</v>
      </c>
      <c r="F34" s="9">
        <f>SUM('Mountaineer:Charles Town'!F34)</f>
        <v>139623.94</v>
      </c>
      <c r="G34" s="9">
        <f>SUM('Mountaineer:Charles Town'!G34)</f>
        <v>166097.93000000002</v>
      </c>
      <c r="H34" s="9">
        <f>SUM('Mountaineer:Charles Town'!H34)</f>
        <v>7337324.2300000107</v>
      </c>
      <c r="I34" s="9">
        <f>SUM('Mountaineer:Charles Town'!I34)</f>
        <v>135388.64000000001</v>
      </c>
      <c r="J34" s="9">
        <f>SUM('Mountaineer:Charles Town'!J34)</f>
        <v>84211.73</v>
      </c>
      <c r="K34" s="9">
        <f>SUM('Mountaineer:Charles Town'!K34)</f>
        <v>51176.91</v>
      </c>
      <c r="L34" s="66">
        <f>SUM('Mountaineer:Charles Town'!L34)</f>
        <v>7201935.590000011</v>
      </c>
      <c r="M34" s="9">
        <f>SUM('Mountaineer:Charles Town'!M34)</f>
        <v>3294067.6399999997</v>
      </c>
      <c r="N34" s="9">
        <f>SUM('Mountaineer:Charles Town'!N34)</f>
        <v>1795031.33</v>
      </c>
      <c r="O34" s="9">
        <f>SUM('Mountaineer:Charles Town'!O34)</f>
        <v>1384822.39</v>
      </c>
      <c r="P34" s="9">
        <f>SUM('Mountaineer:Charles Town'!P34)</f>
        <v>420822.5</v>
      </c>
      <c r="Q34" s="9">
        <f>SUM('Mountaineer:Charles Town'!Q34)</f>
        <v>65926.87000000001</v>
      </c>
      <c r="R34" s="9">
        <f>SUM('Mountaineer:Charles Town'!R34)</f>
        <v>48613.070000000007</v>
      </c>
      <c r="S34" s="9">
        <f>SUM('Mountaineer:Charles Town'!S34)</f>
        <v>48613.070000000007</v>
      </c>
      <c r="T34" s="9">
        <f>SUM('Mountaineer:Charles Town'!T34)</f>
        <v>85189.420000000013</v>
      </c>
      <c r="U34" s="9">
        <f>SUM('Mountaineer:Charles Town'!U34)</f>
        <v>58849.3</v>
      </c>
      <c r="V34" s="9">
        <f>SUM('Mountaineer:Charles Town'!V34)</f>
        <v>6258.5600278746051</v>
      </c>
      <c r="W34" s="7">
        <f>SUM('Mountaineer:Charles Town'!W34)</f>
        <v>4422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44583</v>
      </c>
      <c r="B35" s="9">
        <f>SUM('Mountaineer:Charles Town'!B35)</f>
        <v>80532897.629999995</v>
      </c>
      <c r="C35" s="9">
        <f>SUM('Mountaineer:Charles Town'!C35)</f>
        <v>72542714.340000004</v>
      </c>
      <c r="D35" s="9">
        <f>SUM('Mountaineer:Charles Town'!D35)</f>
        <v>1164923</v>
      </c>
      <c r="E35" s="9">
        <f>SUM('Mountaineer:Charles Town'!E35)</f>
        <v>6825260.29</v>
      </c>
      <c r="F35" s="9">
        <f>SUM('Mountaineer:Charles Town'!F35)</f>
        <v>123538.89000000001</v>
      </c>
      <c r="G35" s="9">
        <f>SUM('Mountaineer:Charles Town'!G35)</f>
        <v>149471.53</v>
      </c>
      <c r="H35" s="9">
        <f>SUM('Mountaineer:Charles Town'!H35)</f>
        <v>6552249.870000001</v>
      </c>
      <c r="I35" s="9">
        <f>SUM('Mountaineer:Charles Town'!I35)</f>
        <v>358731.67</v>
      </c>
      <c r="J35" s="9">
        <f>SUM('Mountaineer:Charles Town'!J35)</f>
        <v>223131.1</v>
      </c>
      <c r="K35" s="9">
        <f>SUM('Mountaineer:Charles Town'!K35)</f>
        <v>135600.57</v>
      </c>
      <c r="L35" s="66">
        <f>SUM('Mountaineer:Charles Town'!L35)</f>
        <v>6193518.2000000011</v>
      </c>
      <c r="M35" s="9">
        <f>SUM('Mountaineer:Charles Town'!M35)</f>
        <v>2734699.6399999997</v>
      </c>
      <c r="N35" s="9">
        <f>SUM('Mountaineer:Charles Town'!N35)</f>
        <v>889479.95000000007</v>
      </c>
      <c r="O35" s="9">
        <f>SUM('Mountaineer:Charles Town'!O35)</f>
        <v>2013043.64</v>
      </c>
      <c r="P35" s="9">
        <f>SUM('Mountaineer:Charles Town'!P35)</f>
        <v>303019.84999999998</v>
      </c>
      <c r="Q35" s="9">
        <f>SUM('Mountaineer:Charles Town'!Q35)</f>
        <v>45792.26</v>
      </c>
      <c r="R35" s="9">
        <f>SUM('Mountaineer:Charles Town'!R35)</f>
        <v>41806.25</v>
      </c>
      <c r="S35" s="9">
        <f>SUM('Mountaineer:Charles Town'!S35)</f>
        <v>41806.25</v>
      </c>
      <c r="T35" s="9">
        <f>SUM('Mountaineer:Charles Town'!T35)</f>
        <v>74322.94</v>
      </c>
      <c r="U35" s="9">
        <f>SUM('Mountaineer:Charles Town'!U35)</f>
        <v>49547.42</v>
      </c>
      <c r="V35" s="9">
        <f>SUM('Mountaineer:Charles Town'!V35)</f>
        <v>5753.0861435253464</v>
      </c>
      <c r="W35" s="7">
        <f>SUM('Mountaineer:Charles Town'!W35)</f>
        <v>4269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44590</v>
      </c>
      <c r="B36" s="9">
        <f>SUM('Mountaineer:Charles Town'!B36)</f>
        <v>88141634.400000006</v>
      </c>
      <c r="C36" s="9">
        <f>SUM('Mountaineer:Charles Town'!C36)</f>
        <v>79334011.030000001</v>
      </c>
      <c r="D36" s="9">
        <f>SUM('Mountaineer:Charles Town'!D36)</f>
        <v>1271977</v>
      </c>
      <c r="E36" s="9">
        <f>SUM('Mountaineer:Charles Town'!E36)</f>
        <v>7535646.3699999973</v>
      </c>
      <c r="F36" s="9">
        <f>SUM('Mountaineer:Charles Town'!F36)</f>
        <v>132212.67000000001</v>
      </c>
      <c r="G36" s="9">
        <f>SUM('Mountaineer:Charles Town'!G36)</f>
        <v>169213.15</v>
      </c>
      <c r="H36" s="9">
        <f>SUM('Mountaineer:Charles Town'!H36)</f>
        <v>7234220.549999997</v>
      </c>
      <c r="I36" s="9">
        <f>SUM('Mountaineer:Charles Town'!I36)</f>
        <v>406111.58</v>
      </c>
      <c r="J36" s="9">
        <f>SUM('Mountaineer:Charles Town'!J36)</f>
        <v>252601.4</v>
      </c>
      <c r="K36" s="9">
        <f>SUM('Mountaineer:Charles Town'!K36)</f>
        <v>153510.18</v>
      </c>
      <c r="L36" s="66">
        <f>SUM('Mountaineer:Charles Town'!L36)</f>
        <v>6828108.9699999969</v>
      </c>
      <c r="M36" s="9">
        <f>SUM('Mountaineer:Charles Town'!M36)</f>
        <v>3010595.48</v>
      </c>
      <c r="N36" s="9">
        <f>SUM('Mountaineer:Charles Town'!N36)</f>
        <v>951931.41</v>
      </c>
      <c r="O36" s="9">
        <f>SUM('Mountaineer:Charles Town'!O36)</f>
        <v>2255348.5700000003</v>
      </c>
      <c r="P36" s="9">
        <f>SUM('Mountaineer:Charles Town'!P36)</f>
        <v>331485.75</v>
      </c>
      <c r="Q36" s="9">
        <f>SUM('Mountaineer:Charles Town'!Q36)</f>
        <v>50006.080000000002</v>
      </c>
      <c r="R36" s="9">
        <f>SUM('Mountaineer:Charles Town'!R36)</f>
        <v>46089.74</v>
      </c>
      <c r="S36" s="9">
        <f>SUM('Mountaineer:Charles Town'!S36)</f>
        <v>46089.74</v>
      </c>
      <c r="T36" s="9">
        <f>SUM('Mountaineer:Charles Town'!T36)</f>
        <v>80602.78</v>
      </c>
      <c r="U36" s="9">
        <f>SUM('Mountaineer:Charles Town'!U36)</f>
        <v>55959.42</v>
      </c>
      <c r="V36" s="9">
        <f>SUM('Mountaineer:Charles Town'!V36)</f>
        <v>6142.1996408009691</v>
      </c>
      <c r="W36" s="7">
        <f>SUM('Mountaineer:Charles Town'!W36)</f>
        <v>4392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44597</v>
      </c>
      <c r="B37" s="9">
        <f>SUM('Mountaineer:Charles Town'!B37)</f>
        <v>90967818.719999999</v>
      </c>
      <c r="C37" s="9">
        <f>SUM('Mountaineer:Charles Town'!C37)</f>
        <v>81933643.729999989</v>
      </c>
      <c r="D37" s="9">
        <f>SUM('Mountaineer:Charles Town'!D37)</f>
        <v>1244384</v>
      </c>
      <c r="E37" s="9">
        <f>SUM('Mountaineer:Charles Town'!E37)</f>
        <v>7789790.9900000058</v>
      </c>
      <c r="F37" s="9">
        <f>SUM('Mountaineer:Charles Town'!F37)</f>
        <v>125098.72</v>
      </c>
      <c r="G37" s="9">
        <f>SUM('Mountaineer:Charles Town'!G37)</f>
        <v>186492.91</v>
      </c>
      <c r="H37" s="9">
        <f>SUM('Mountaineer:Charles Town'!H37)</f>
        <v>7478199.360000005</v>
      </c>
      <c r="I37" s="9">
        <f>SUM('Mountaineer:Charles Town'!I37)</f>
        <v>447583</v>
      </c>
      <c r="J37" s="9">
        <f>SUM('Mountaineer:Charles Town'!J37)</f>
        <v>278396.63</v>
      </c>
      <c r="K37" s="9">
        <f>SUM('Mountaineer:Charles Town'!K37)</f>
        <v>169186.37</v>
      </c>
      <c r="L37" s="66">
        <f>SUM('Mountaineer:Charles Town'!L37)</f>
        <v>7030616.360000005</v>
      </c>
      <c r="M37" s="9">
        <f>SUM('Mountaineer:Charles Town'!M37)</f>
        <v>3087965.5</v>
      </c>
      <c r="N37" s="9">
        <f>SUM('Mountaineer:Charles Town'!N37)</f>
        <v>900710.79</v>
      </c>
      <c r="O37" s="9">
        <f>SUM('Mountaineer:Charles Town'!O37)</f>
        <v>2422083.33</v>
      </c>
      <c r="P37" s="9">
        <f>SUM('Mountaineer:Charles Town'!P37)</f>
        <v>334166.17</v>
      </c>
      <c r="Q37" s="9">
        <f>SUM('Mountaineer:Charles Town'!Q37)</f>
        <v>50164.93</v>
      </c>
      <c r="R37" s="9">
        <f>SUM('Mountaineer:Charles Town'!R37)</f>
        <v>47456.66</v>
      </c>
      <c r="S37" s="9">
        <f>SUM('Mountaineer:Charles Town'!S37)</f>
        <v>47456.66</v>
      </c>
      <c r="T37" s="9">
        <f>SUM('Mountaineer:Charles Town'!T37)</f>
        <v>82603.260000000009</v>
      </c>
      <c r="U37" s="9">
        <f>SUM('Mountaineer:Charles Town'!U37)</f>
        <v>58009.06</v>
      </c>
      <c r="V37" s="9">
        <f>SUM('Mountaineer:Charles Town'!V37)</f>
        <v>6292.0854257053306</v>
      </c>
      <c r="W37" s="7">
        <f>SUM('Mountaineer:Charles Town'!W37)</f>
        <v>4379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44604</v>
      </c>
      <c r="B38" s="9">
        <f>SUM('Mountaineer:Charles Town'!B38)</f>
        <v>107353825.36999997</v>
      </c>
      <c r="C38" s="9">
        <f>SUM('Mountaineer:Charles Town'!C38)</f>
        <v>96478929.859999985</v>
      </c>
      <c r="D38" s="9">
        <f>SUM('Mountaineer:Charles Town'!D38)</f>
        <v>1388278</v>
      </c>
      <c r="E38" s="9">
        <f>SUM('Mountaineer:Charles Town'!E38)</f>
        <v>9486617.5099999923</v>
      </c>
      <c r="F38" s="9">
        <f>SUM('Mountaineer:Charles Town'!F38)</f>
        <v>176987.86</v>
      </c>
      <c r="G38" s="9">
        <f>SUM('Mountaineer:Charles Town'!G38)</f>
        <v>202476.83</v>
      </c>
      <c r="H38" s="9">
        <f>SUM('Mountaineer:Charles Town'!H38)</f>
        <v>9107152.8199999928</v>
      </c>
      <c r="I38" s="9">
        <f>SUM('Mountaineer:Charles Town'!I38)</f>
        <v>485944.43</v>
      </c>
      <c r="J38" s="9">
        <f>SUM('Mountaineer:Charles Town'!J38)</f>
        <v>302257.44</v>
      </c>
      <c r="K38" s="9">
        <f>SUM('Mountaineer:Charles Town'!K38)</f>
        <v>183686.99</v>
      </c>
      <c r="L38" s="66">
        <f>SUM('Mountaineer:Charles Town'!L38)</f>
        <v>8621208.3899999931</v>
      </c>
      <c r="M38" s="9">
        <f>SUM('Mountaineer:Charles Town'!M38)</f>
        <v>3812054.41</v>
      </c>
      <c r="N38" s="9">
        <f>SUM('Mountaineer:Charles Town'!N38)</f>
        <v>1274312.5900000001</v>
      </c>
      <c r="O38" s="9">
        <f>SUM('Mountaineer:Charles Town'!O38)</f>
        <v>2756634.7199999997</v>
      </c>
      <c r="P38" s="9">
        <f>SUM('Mountaineer:Charles Town'!P38)</f>
        <v>425051.63</v>
      </c>
      <c r="Q38" s="9">
        <f>SUM('Mountaineer:Charles Town'!Q38)</f>
        <v>64344.58</v>
      </c>
      <c r="R38" s="9">
        <f>SUM('Mountaineer:Charles Town'!R38)</f>
        <v>58193.149999999994</v>
      </c>
      <c r="S38" s="9">
        <f>SUM('Mountaineer:Charles Town'!S38)</f>
        <v>58193.149999999994</v>
      </c>
      <c r="T38" s="9">
        <f>SUM('Mountaineer:Charles Town'!T38)</f>
        <v>102025.76</v>
      </c>
      <c r="U38" s="9">
        <f>SUM('Mountaineer:Charles Town'!U38)</f>
        <v>70398.399999999994</v>
      </c>
      <c r="V38" s="9">
        <f>SUM('Mountaineer:Charles Town'!V38)</f>
        <v>7932.737578822349</v>
      </c>
      <c r="W38" s="7">
        <f>SUM('Mountaineer:Charles Town'!W38)</f>
        <v>4375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44611</v>
      </c>
      <c r="B39" s="9">
        <f>SUM('Mountaineer:Charles Town'!B39)</f>
        <v>108642524.66</v>
      </c>
      <c r="C39" s="9">
        <f>SUM('Mountaineer:Charles Town'!C39)</f>
        <v>97600570.00999999</v>
      </c>
      <c r="D39" s="9">
        <f>SUM('Mountaineer:Charles Town'!D39)</f>
        <v>1415072</v>
      </c>
      <c r="E39" s="9">
        <f>SUM('Mountaineer:Charles Town'!E39)</f>
        <v>9626882.6500000078</v>
      </c>
      <c r="F39" s="9">
        <f>SUM('Mountaineer:Charles Town'!F39)</f>
        <v>173819.45</v>
      </c>
      <c r="G39" s="9">
        <f>SUM('Mountaineer:Charles Town'!G39)</f>
        <v>211255.88</v>
      </c>
      <c r="H39" s="9">
        <f>SUM('Mountaineer:Charles Town'!H39)</f>
        <v>9241807.3200000077</v>
      </c>
      <c r="I39" s="9">
        <f>SUM('Mountaineer:Charles Town'!I39)</f>
        <v>507014.1</v>
      </c>
      <c r="J39" s="9">
        <f>SUM('Mountaineer:Charles Town'!J39)</f>
        <v>315362.77</v>
      </c>
      <c r="K39" s="9">
        <f>SUM('Mountaineer:Charles Town'!K39)</f>
        <v>191651.33</v>
      </c>
      <c r="L39" s="66">
        <f>SUM('Mountaineer:Charles Town'!L39)</f>
        <v>8734793.2200000081</v>
      </c>
      <c r="M39" s="9">
        <f>SUM('Mountaineer:Charles Town'!M39)</f>
        <v>3856338.14</v>
      </c>
      <c r="N39" s="9">
        <f>SUM('Mountaineer:Charles Town'!N39)</f>
        <v>1251500.01</v>
      </c>
      <c r="O39" s="9">
        <f>SUM('Mountaineer:Charles Town'!O39)</f>
        <v>2842719.76</v>
      </c>
      <c r="P39" s="9">
        <f>SUM('Mountaineer:Charles Town'!P39)</f>
        <v>427087.54000000004</v>
      </c>
      <c r="Q39" s="9">
        <f>SUM('Mountaineer:Charles Town'!Q39)</f>
        <v>64532.270000000004</v>
      </c>
      <c r="R39" s="9">
        <f>SUM('Mountaineer:Charles Town'!R39)</f>
        <v>58959.85</v>
      </c>
      <c r="S39" s="9">
        <f>SUM('Mountaineer:Charles Town'!S39)</f>
        <v>58959.85</v>
      </c>
      <c r="T39" s="9">
        <f>SUM('Mountaineer:Charles Town'!T39)</f>
        <v>103648.44</v>
      </c>
      <c r="U39" s="9">
        <f>SUM('Mountaineer:Charles Town'!U39)</f>
        <v>71047.359999999986</v>
      </c>
      <c r="V39" s="9">
        <f>SUM('Mountaineer:Charles Town'!V39)</f>
        <v>8082.8589478767808</v>
      </c>
      <c r="W39" s="7">
        <f>SUM('Mountaineer:Charles Town'!W39)</f>
        <v>4311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44618</v>
      </c>
      <c r="B40" s="9">
        <f>SUM('Mountaineer:Charles Town'!B40)</f>
        <v>117703712.84</v>
      </c>
      <c r="C40" s="9">
        <f>SUM('Mountaineer:Charles Town'!C40)</f>
        <v>105588784.26999998</v>
      </c>
      <c r="D40" s="9">
        <f>SUM('Mountaineer:Charles Town'!D40)</f>
        <v>1505745</v>
      </c>
      <c r="E40" s="9">
        <f>SUM('Mountaineer:Charles Town'!E40)</f>
        <v>10609183.570000015</v>
      </c>
      <c r="F40" s="9">
        <f>SUM('Mountaineer:Charles Town'!F40)</f>
        <v>197280.77</v>
      </c>
      <c r="G40" s="9">
        <f>SUM('Mountaineer:Charles Town'!G40)</f>
        <v>227086.59</v>
      </c>
      <c r="H40" s="9">
        <f>SUM('Mountaineer:Charles Town'!H40)</f>
        <v>10184816.210000016</v>
      </c>
      <c r="I40" s="9">
        <f>SUM('Mountaineer:Charles Town'!I40)</f>
        <v>545007.81000000006</v>
      </c>
      <c r="J40" s="9">
        <f>SUM('Mountaineer:Charles Town'!J40)</f>
        <v>338994.86</v>
      </c>
      <c r="K40" s="9">
        <f>SUM('Mountaineer:Charles Town'!K40)</f>
        <v>206012.95</v>
      </c>
      <c r="L40" s="66">
        <f>SUM('Mountaineer:Charles Town'!L40)</f>
        <v>9639808.4000000153</v>
      </c>
      <c r="M40" s="9">
        <f>SUM('Mountaineer:Charles Town'!M40)</f>
        <v>4261782.75</v>
      </c>
      <c r="N40" s="9">
        <f>SUM('Mountaineer:Charles Town'!N40)</f>
        <v>1420421.46</v>
      </c>
      <c r="O40" s="9">
        <f>SUM('Mountaineer:Charles Town'!O40)</f>
        <v>3087926.8699999996</v>
      </c>
      <c r="P40" s="9">
        <f>SUM('Mountaineer:Charles Town'!P40)</f>
        <v>474871.03</v>
      </c>
      <c r="Q40" s="9">
        <f>SUM('Mountaineer:Charles Town'!Q40)</f>
        <v>71872.73</v>
      </c>
      <c r="R40" s="9">
        <f>SUM('Mountaineer:Charles Town'!R40)</f>
        <v>65068.7</v>
      </c>
      <c r="S40" s="9">
        <f>SUM('Mountaineer:Charles Town'!S40)</f>
        <v>65068.7</v>
      </c>
      <c r="T40" s="9">
        <f>SUM('Mountaineer:Charles Town'!T40)</f>
        <v>114921.56</v>
      </c>
      <c r="U40" s="9">
        <f>SUM('Mountaineer:Charles Town'!U40)</f>
        <v>77874.600000000006</v>
      </c>
      <c r="V40" s="9">
        <f>SUM('Mountaineer:Charles Town'!V40)</f>
        <v>9001.3088906987996</v>
      </c>
      <c r="W40" s="7">
        <f>SUM('Mountaineer:Charles Town'!W40)</f>
        <v>4297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Mountaineer!A41</f>
        <v>44625</v>
      </c>
      <c r="B41" s="9">
        <f>SUM('Mountaineer:Charles Town'!B41)</f>
        <v>115037666.65000001</v>
      </c>
      <c r="C41" s="9">
        <f>SUM('Mountaineer:Charles Town'!C41)</f>
        <v>103356879.53</v>
      </c>
      <c r="D41" s="9">
        <f>SUM('Mountaineer:Charles Town'!D41)</f>
        <v>1532765</v>
      </c>
      <c r="E41" s="9">
        <f>SUM('Mountaineer:Charles Town'!E41)</f>
        <v>10148022.119999995</v>
      </c>
      <c r="F41" s="9">
        <f>SUM('Mountaineer:Charles Town'!F41)</f>
        <v>189240.55000000002</v>
      </c>
      <c r="G41" s="9">
        <f>SUM('Mountaineer:Charles Town'!G41)</f>
        <v>216680.34</v>
      </c>
      <c r="H41" s="9">
        <f>SUM('Mountaineer:Charles Town'!H41)</f>
        <v>9742101.2299999967</v>
      </c>
      <c r="I41" s="9">
        <f>SUM('Mountaineer:Charles Town'!I41)</f>
        <v>520032.82</v>
      </c>
      <c r="J41" s="9">
        <f>SUM('Mountaineer:Charles Town'!J41)</f>
        <v>323460.40999999997</v>
      </c>
      <c r="K41" s="9">
        <f>SUM('Mountaineer:Charles Town'!K41)</f>
        <v>196572.41</v>
      </c>
      <c r="L41" s="66">
        <f>SUM('Mountaineer:Charles Town'!L41)</f>
        <v>9222068.4099999964</v>
      </c>
      <c r="M41" s="66">
        <f>SUM('Mountaineer:Charles Town'!M41)</f>
        <v>4077648.5100000007</v>
      </c>
      <c r="N41" s="9">
        <f>SUM('Mountaineer:Charles Town'!N41)</f>
        <v>1362531.87</v>
      </c>
      <c r="O41" s="9">
        <f>SUM('Mountaineer:Charles Town'!O41)</f>
        <v>2949507.16</v>
      </c>
      <c r="P41" s="9">
        <f>SUM('Mountaineer:Charles Town'!P41)</f>
        <v>454622.33</v>
      </c>
      <c r="Q41" s="9">
        <f>SUM('Mountaineer:Charles Town'!Q41)</f>
        <v>68819.22</v>
      </c>
      <c r="R41" s="9">
        <f>SUM('Mountaineer:Charles Town'!R41)</f>
        <v>62248.959999999999</v>
      </c>
      <c r="S41" s="9">
        <f>SUM('Mountaineer:Charles Town'!S41)</f>
        <v>62248.959999999999</v>
      </c>
      <c r="T41" s="9">
        <f>SUM('Mountaineer:Charles Town'!T41)</f>
        <v>110335.26</v>
      </c>
      <c r="U41" s="9">
        <f>SUM('Mountaineer:Charles Town'!U41)</f>
        <v>74106.14</v>
      </c>
      <c r="V41" s="9">
        <f>SUM('Mountaineer:Charles Town'!V41)</f>
        <v>8499.6791862803275</v>
      </c>
      <c r="W41" s="7">
        <f>SUM('Mountaineer:Charles Town'!W41)</f>
        <v>4350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Mountaineer!A42</f>
        <v>44632</v>
      </c>
      <c r="B42" s="9">
        <f>SUM('Mountaineer:Charles Town'!B42)</f>
        <v>100625963.19000001</v>
      </c>
      <c r="C42" s="9">
        <f>SUM('Mountaineer:Charles Town'!C42)</f>
        <v>90490765.159999996</v>
      </c>
      <c r="D42" s="9">
        <f>SUM('Mountaineer:Charles Town'!D42)</f>
        <v>1330995</v>
      </c>
      <c r="E42" s="9">
        <f>SUM('Mountaineer:Charles Town'!E42)</f>
        <v>8804203.0300000031</v>
      </c>
      <c r="F42" s="9">
        <f>SUM('Mountaineer:Charles Town'!F42)</f>
        <v>157601.20000000001</v>
      </c>
      <c r="G42" s="9">
        <f>SUM('Mountaineer:Charles Town'!G42)</f>
        <v>194566.93000000002</v>
      </c>
      <c r="H42" s="9">
        <f>SUM('Mountaineer:Charles Town'!H42)</f>
        <v>8452034.9000000041</v>
      </c>
      <c r="I42" s="9">
        <f>SUM('Mountaineer:Charles Town'!I42)</f>
        <v>466960.61</v>
      </c>
      <c r="J42" s="9">
        <f>SUM('Mountaineer:Charles Town'!J42)</f>
        <v>290449.5</v>
      </c>
      <c r="K42" s="9">
        <f>SUM('Mountaineer:Charles Town'!K42)</f>
        <v>176511.11</v>
      </c>
      <c r="L42" s="66">
        <f>SUM('Mountaineer:Charles Town'!L42)</f>
        <v>7985074.2900000028</v>
      </c>
      <c r="M42" s="66">
        <f>SUM('Mountaineer:Charles Town'!M42)</f>
        <v>3523940.49</v>
      </c>
      <c r="N42" s="9">
        <f>SUM('Mountaineer:Charles Town'!N42)</f>
        <v>1134728.58</v>
      </c>
      <c r="O42" s="9">
        <f>SUM('Mountaineer:Charles Town'!O42)</f>
        <v>2610479.42</v>
      </c>
      <c r="P42" s="9">
        <f>SUM('Mountaineer:Charles Town'!P42)</f>
        <v>389588.25</v>
      </c>
      <c r="Q42" s="9">
        <f>SUM('Mountaineer:Charles Town'!Q42)</f>
        <v>58837.53</v>
      </c>
      <c r="R42" s="9">
        <f>SUM('Mountaineer:Charles Town'!R42)</f>
        <v>53899.25</v>
      </c>
      <c r="S42" s="9">
        <f>SUM('Mountaineer:Charles Town'!S42)</f>
        <v>53899.25</v>
      </c>
      <c r="T42" s="9">
        <f>SUM('Mountaineer:Charles Town'!T42)</f>
        <v>95053.4</v>
      </c>
      <c r="U42" s="9">
        <f>SUM('Mountaineer:Charles Town'!U42)</f>
        <v>64648.119999999995</v>
      </c>
      <c r="V42" s="9">
        <f>SUM('Mountaineer:Charles Town'!V42)</f>
        <v>7267.3763344292574</v>
      </c>
      <c r="W42" s="7">
        <f>SUM('Mountaineer:Charles Town'!W42)</f>
        <v>4360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Mountaineer!A43</f>
        <v>44639</v>
      </c>
      <c r="B43" s="9">
        <f>SUM('Mountaineer:Charles Town'!B43)</f>
        <v>115669438</v>
      </c>
      <c r="C43" s="9">
        <f>SUM('Mountaineer:Charles Town'!C43)</f>
        <v>103895253.44</v>
      </c>
      <c r="D43" s="9">
        <f>SUM('Mountaineer:Charles Town'!D43)</f>
        <v>1433793</v>
      </c>
      <c r="E43" s="9">
        <f>SUM('Mountaineer:Charles Town'!E43)</f>
        <v>10340391.559999997</v>
      </c>
      <c r="F43" s="9">
        <f>SUM('Mountaineer:Charles Town'!F43)</f>
        <v>185757.02999999997</v>
      </c>
      <c r="G43" s="9">
        <f>SUM('Mountaineer:Charles Town'!G43)</f>
        <v>227858.63</v>
      </c>
      <c r="H43" s="9">
        <f>SUM('Mountaineer:Charles Town'!H43)</f>
        <v>9926775.8999999966</v>
      </c>
      <c r="I43" s="9">
        <f>SUM('Mountaineer:Charles Town'!I43)</f>
        <v>546860.73</v>
      </c>
      <c r="J43" s="9">
        <f>SUM('Mountaineer:Charles Town'!J43)</f>
        <v>340147.37</v>
      </c>
      <c r="K43" s="9">
        <f>SUM('Mountaineer:Charles Town'!K43)</f>
        <v>206713.36</v>
      </c>
      <c r="L43" s="66">
        <f>SUM('Mountaineer:Charles Town'!L43)</f>
        <v>9379915.1699999981</v>
      </c>
      <c r="M43" s="66">
        <f>SUM('Mountaineer:Charles Town'!M43)</f>
        <v>4140181.95</v>
      </c>
      <c r="N43" s="9">
        <f>SUM('Mountaineer:Charles Town'!N43)</f>
        <v>1337450.6300000001</v>
      </c>
      <c r="O43" s="9">
        <f>SUM('Mountaineer:Charles Town'!O43)</f>
        <v>3060817.56</v>
      </c>
      <c r="P43" s="9">
        <f>SUM('Mountaineer:Charles Town'!P43)</f>
        <v>458047.5</v>
      </c>
      <c r="Q43" s="9">
        <f>SUM('Mountaineer:Charles Town'!Q43)</f>
        <v>69190.41</v>
      </c>
      <c r="R43" s="9">
        <f>SUM('Mountaineer:Charles Town'!R43)</f>
        <v>63314.42</v>
      </c>
      <c r="S43" s="9">
        <f>SUM('Mountaineer:Charles Town'!S43)</f>
        <v>63314.42</v>
      </c>
      <c r="T43" s="9">
        <f>SUM('Mountaineer:Charles Town'!T43)</f>
        <v>109838.04</v>
      </c>
      <c r="U43" s="9">
        <f>SUM('Mountaineer:Charles Town'!U43)</f>
        <v>77760.239999999991</v>
      </c>
      <c r="V43" s="9">
        <f>SUM('Mountaineer:Charles Town'!V43)</f>
        <v>8265.1202666940862</v>
      </c>
      <c r="W43" s="7">
        <f>SUM('Mountaineer:Charles Town'!W43)</f>
        <v>4544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Mountaineer!A44</f>
        <v>44646</v>
      </c>
      <c r="B44" s="9">
        <f>SUM('Mountaineer:Charles Town'!B44)</f>
        <v>116700380.00999999</v>
      </c>
      <c r="C44" s="9">
        <f>SUM('Mountaineer:Charles Town'!C44)</f>
        <v>104676386.72</v>
      </c>
      <c r="D44" s="9">
        <f>SUM('Mountaineer:Charles Town'!D44)</f>
        <v>1559055</v>
      </c>
      <c r="E44" s="9">
        <f>SUM('Mountaineer:Charles Town'!E44)</f>
        <v>10464938.28999999</v>
      </c>
      <c r="F44" s="9">
        <f>SUM('Mountaineer:Charles Town'!F44)</f>
        <v>191401.77</v>
      </c>
      <c r="G44" s="9">
        <f>SUM('Mountaineer:Charles Town'!G44)</f>
        <v>227195.78</v>
      </c>
      <c r="H44" s="9">
        <f>SUM('Mountaineer:Charles Town'!H44)</f>
        <v>10046340.739999991</v>
      </c>
      <c r="I44" s="9">
        <f>SUM('Mountaineer:Charles Town'!I44)</f>
        <v>545269.88</v>
      </c>
      <c r="J44" s="9">
        <f>SUM('Mountaineer:Charles Town'!J44)</f>
        <v>339157.87</v>
      </c>
      <c r="K44" s="9">
        <f>SUM('Mountaineer:Charles Town'!K44)</f>
        <v>206112.01</v>
      </c>
      <c r="L44" s="66">
        <f>SUM('Mountaineer:Charles Town'!L44)</f>
        <v>9501070.8599999901</v>
      </c>
      <c r="M44" s="66">
        <f>SUM('Mountaineer:Charles Town'!M44)</f>
        <v>4197163.6500000004</v>
      </c>
      <c r="N44" s="9">
        <f>SUM('Mountaineer:Charles Town'!N44)</f>
        <v>1378092.4799999997</v>
      </c>
      <c r="O44" s="9">
        <f>SUM('Mountaineer:Charles Town'!O44)</f>
        <v>3070988.38</v>
      </c>
      <c r="P44" s="9">
        <f>SUM('Mountaineer:Charles Town'!P44)</f>
        <v>466066.89</v>
      </c>
      <c r="Q44" s="9">
        <f>SUM('Mountaineer:Charles Town'!Q44)</f>
        <v>70473.579999999987</v>
      </c>
      <c r="R44" s="9">
        <f>SUM('Mountaineer:Charles Town'!R44)</f>
        <v>64132.22</v>
      </c>
      <c r="S44" s="9">
        <f>SUM('Mountaineer:Charles Town'!S44)</f>
        <v>64132.22</v>
      </c>
      <c r="T44" s="9">
        <f>SUM('Mountaineer:Charles Town'!T44)</f>
        <v>113106.63999999998</v>
      </c>
      <c r="U44" s="9">
        <f>SUM('Mountaineer:Charles Town'!U44)</f>
        <v>76914.799999999988</v>
      </c>
      <c r="V44" s="9">
        <f>SUM('Mountaineer:Charles Town'!V44)</f>
        <v>8312.3954108183134</v>
      </c>
      <c r="W44" s="7">
        <f>SUM('Mountaineer:Charles Town'!W44)</f>
        <v>4559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Mountaineer!A45</f>
        <v>44653</v>
      </c>
      <c r="B45" s="9">
        <f>SUM('Mountaineer:Charles Town'!B45)</f>
        <v>114943803.87</v>
      </c>
      <c r="C45" s="9">
        <f>SUM('Mountaineer:Charles Town'!C45)</f>
        <v>103600933.87</v>
      </c>
      <c r="D45" s="9">
        <f>SUM('Mountaineer:Charles Town'!D45)</f>
        <v>1562414</v>
      </c>
      <c r="E45" s="9">
        <f>SUM('Mountaineer:Charles Town'!E45)</f>
        <v>9780455.9999999981</v>
      </c>
      <c r="F45" s="9">
        <f>SUM('Mountaineer:Charles Town'!F45)</f>
        <v>185652.34999999998</v>
      </c>
      <c r="G45" s="9">
        <f>SUM('Mountaineer:Charles Town'!G45)</f>
        <v>205565.88999999998</v>
      </c>
      <c r="H45" s="9">
        <f>SUM('Mountaineer:Charles Town'!H45)</f>
        <v>9389237.7599999979</v>
      </c>
      <c r="I45" s="9">
        <f>SUM('Mountaineer:Charles Town'!I45)</f>
        <v>493358.16</v>
      </c>
      <c r="J45" s="9">
        <f>SUM('Mountaineer:Charles Town'!J45)</f>
        <v>306868.78000000003</v>
      </c>
      <c r="K45" s="9">
        <f>SUM('Mountaineer:Charles Town'!K45)</f>
        <v>186489.38</v>
      </c>
      <c r="L45" s="66">
        <f>SUM('Mountaineer:Charles Town'!L45)</f>
        <v>8895879.5999999978</v>
      </c>
      <c r="M45" s="66">
        <f>SUM('Mountaineer:Charles Town'!M45)</f>
        <v>3936773.96</v>
      </c>
      <c r="N45" s="9">
        <f>SUM('Mountaineer:Charles Town'!N45)</f>
        <v>1336696.8399999999</v>
      </c>
      <c r="O45" s="9">
        <f>SUM('Mountaineer:Charles Town'!O45)</f>
        <v>2817084.7600000007</v>
      </c>
      <c r="P45" s="9">
        <f>SUM('Mountaineer:Charles Town'!P45)</f>
        <v>440554.38</v>
      </c>
      <c r="Q45" s="9">
        <f>SUM('Mountaineer:Charles Town'!Q45)</f>
        <v>66757.679999999993</v>
      </c>
      <c r="R45" s="9">
        <f>SUM('Mountaineer:Charles Town'!R45)</f>
        <v>60047.19</v>
      </c>
      <c r="S45" s="9">
        <f>SUM('Mountaineer:Charles Town'!S45)</f>
        <v>60047.19</v>
      </c>
      <c r="T45" s="9">
        <f>SUM('Mountaineer:Charles Town'!T45)</f>
        <v>107528.5</v>
      </c>
      <c r="U45" s="9">
        <f>SUM('Mountaineer:Charles Town'!U45)</f>
        <v>70389.100000000006</v>
      </c>
      <c r="V45" s="9">
        <f>SUM('Mountaineer:Charles Town'!V45)</f>
        <v>7876.5451208305076</v>
      </c>
      <c r="W45" s="7">
        <f>SUM('Mountaineer:Charles Town'!W45)</f>
        <v>4524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Mountaineer!A46</f>
        <v>44660</v>
      </c>
      <c r="B46" s="9">
        <f>SUM('Mountaineer:Charles Town'!B46)</f>
        <v>114635723.69</v>
      </c>
      <c r="C46" s="9">
        <f>SUM('Mountaineer:Charles Town'!C46)</f>
        <v>103073552.97</v>
      </c>
      <c r="D46" s="9">
        <f>SUM('Mountaineer:Charles Town'!D46)</f>
        <v>1557488</v>
      </c>
      <c r="E46" s="9">
        <f>SUM('Mountaineer:Charles Town'!E46)</f>
        <v>10004682.720000001</v>
      </c>
      <c r="F46" s="9">
        <f>SUM('Mountaineer:Charles Town'!F46)</f>
        <v>182005.08</v>
      </c>
      <c r="G46" s="9">
        <f>SUM('Mountaineer:Charles Town'!G46)</f>
        <v>218182.24</v>
      </c>
      <c r="H46" s="9">
        <f>SUM('Mountaineer:Charles Town'!H46)</f>
        <v>9604495.4000000004</v>
      </c>
      <c r="I46" s="9">
        <f>SUM('Mountaineer:Charles Town'!I46)</f>
        <v>523637.37</v>
      </c>
      <c r="J46" s="9">
        <f>SUM('Mountaineer:Charles Town'!J46)</f>
        <v>325702.44</v>
      </c>
      <c r="K46" s="9">
        <f>SUM('Mountaineer:Charles Town'!K46)</f>
        <v>197934.93</v>
      </c>
      <c r="L46" s="66">
        <f>SUM('Mountaineer:Charles Town'!L46)</f>
        <v>9080858.0300000012</v>
      </c>
      <c r="M46" s="66">
        <f>SUM('Mountaineer:Charles Town'!M46)</f>
        <v>4010525.86</v>
      </c>
      <c r="N46" s="9">
        <f>SUM('Mountaineer:Charles Town'!N46)</f>
        <v>1310436.5899999999</v>
      </c>
      <c r="O46" s="9">
        <f>SUM('Mountaineer:Charles Town'!O46)</f>
        <v>2943591.83</v>
      </c>
      <c r="P46" s="9">
        <f>SUM('Mountaineer:Charles Town'!P46)</f>
        <v>444850.17</v>
      </c>
      <c r="Q46" s="9">
        <f>SUM('Mountaineer:Charles Town'!Q46)</f>
        <v>67244.88</v>
      </c>
      <c r="R46" s="9">
        <f>SUM('Mountaineer:Charles Town'!R46)</f>
        <v>61295.79</v>
      </c>
      <c r="S46" s="9">
        <f>SUM('Mountaineer:Charles Town'!S46)</f>
        <v>61295.79</v>
      </c>
      <c r="T46" s="9">
        <f>SUM('Mountaineer:Charles Town'!T46)</f>
        <v>107382.92</v>
      </c>
      <c r="U46" s="9">
        <f>SUM('Mountaineer:Charles Town'!U46)</f>
        <v>74234.2</v>
      </c>
      <c r="V46" s="9">
        <f>SUM('Mountaineer:Charles Town'!V46)</f>
        <v>8605.2807683941555</v>
      </c>
      <c r="W46" s="7">
        <f>SUM('Mountaineer:Charles Town'!W46)</f>
        <v>4223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Mountaineer!A47</f>
        <v>44667</v>
      </c>
      <c r="B47" s="9">
        <f>SUM('Mountaineer:Charles Town'!B47)</f>
        <v>107201963.96000001</v>
      </c>
      <c r="C47" s="9">
        <f>SUM('Mountaineer:Charles Town'!C47)</f>
        <v>96591272.909999996</v>
      </c>
      <c r="D47" s="9">
        <f>SUM('Mountaineer:Charles Town'!D47)</f>
        <v>1447972</v>
      </c>
      <c r="E47" s="9">
        <f>SUM('Mountaineer:Charles Town'!E47)</f>
        <v>9162719.0500000026</v>
      </c>
      <c r="F47" s="9">
        <f>SUM('Mountaineer:Charles Town'!F47)</f>
        <v>164553.85999999999</v>
      </c>
      <c r="G47" s="9">
        <f>SUM('Mountaineer:Charles Town'!G47)</f>
        <v>201954.9</v>
      </c>
      <c r="H47" s="9">
        <f>SUM('Mountaineer:Charles Town'!H47)</f>
        <v>8796210.2900000028</v>
      </c>
      <c r="I47" s="9">
        <f>SUM('Mountaineer:Charles Town'!I47)+0.01</f>
        <v>484691.77</v>
      </c>
      <c r="J47" s="9">
        <f>SUM('Mountaineer:Charles Town'!J47)</f>
        <v>301478.27</v>
      </c>
      <c r="K47" s="9">
        <f>SUM('Mountaineer:Charles Town'!K47)</f>
        <v>183213.49</v>
      </c>
      <c r="L47" s="66">
        <f>SUM('Mountaineer:Charles Town'!L47)</f>
        <v>8311518.5300000031</v>
      </c>
      <c r="M47" s="66">
        <f>SUM('Mountaineer:Charles Town'!M47)</f>
        <v>3668555.96</v>
      </c>
      <c r="N47" s="9">
        <f>SUM('Mountaineer:Charles Town'!N47)</f>
        <v>1184787.8600000001</v>
      </c>
      <c r="O47" s="9">
        <f>SUM('Mountaineer:Charles Town'!O47)</f>
        <v>2712589.2399999998</v>
      </c>
      <c r="P47" s="9">
        <f>SUM('Mountaineer:Charles Town'!P47)</f>
        <v>405845.58</v>
      </c>
      <c r="Q47" s="9">
        <f>SUM('Mountaineer:Charles Town'!Q47)</f>
        <v>61304.05</v>
      </c>
      <c r="R47" s="9">
        <f>SUM('Mountaineer:Charles Town'!R47)</f>
        <v>56102.740000000005</v>
      </c>
      <c r="S47" s="9">
        <f>SUM('Mountaineer:Charles Town'!S47)</f>
        <v>56102.740000000005</v>
      </c>
      <c r="T47" s="9">
        <f>SUM('Mountaineer:Charles Town'!T47)</f>
        <v>98268.160000000003</v>
      </c>
      <c r="U47" s="9">
        <f>SUM('Mountaineer:Charles Town'!U47)</f>
        <v>67962.2</v>
      </c>
      <c r="V47" s="9">
        <f>SUM('Mountaineer:Charles Town'!V47)</f>
        <v>7912.6311728051605</v>
      </c>
      <c r="W47" s="7">
        <f>SUM('Mountaineer:Charles Town'!W47)</f>
        <v>4177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Mountaineer!A48</f>
        <v>44674</v>
      </c>
      <c r="B48" s="9">
        <f>SUM('Mountaineer:Charles Town'!B48)</f>
        <v>105800832.75999999</v>
      </c>
      <c r="C48" s="9">
        <f>SUM('Mountaineer:Charles Town'!C48)</f>
        <v>95059476.25</v>
      </c>
      <c r="D48" s="9">
        <f>SUM('Mountaineer:Charles Town'!D48)</f>
        <v>1458821</v>
      </c>
      <c r="E48" s="9">
        <f>SUM('Mountaineer:Charles Town'!E48)</f>
        <v>9282535.5100000016</v>
      </c>
      <c r="F48" s="9">
        <f>SUM('Mountaineer:Charles Town'!F48)</f>
        <v>176695.93</v>
      </c>
      <c r="G48" s="9">
        <f>SUM('Mountaineer:Charles Town'!G48)</f>
        <v>194605.5</v>
      </c>
      <c r="H48" s="9">
        <f>SUM('Mountaineer:Charles Town'!H48)</f>
        <v>8911234.0800000019</v>
      </c>
      <c r="I48" s="9">
        <f>SUM('Mountaineer:Charles Town'!I48)+0.01</f>
        <v>467053.2</v>
      </c>
      <c r="J48" s="9">
        <f>SUM('Mountaineer:Charles Town'!J48)</f>
        <v>290507.08</v>
      </c>
      <c r="K48" s="9">
        <f>SUM('Mountaineer:Charles Town'!K48)</f>
        <v>176546.11</v>
      </c>
      <c r="L48" s="66">
        <f>SUM('Mountaineer:Charles Town'!L48)</f>
        <v>8444180.8900000006</v>
      </c>
      <c r="M48" s="66">
        <f>SUM('Mountaineer:Charles Town'!M48)</f>
        <v>3737387.5700000003</v>
      </c>
      <c r="N48" s="9">
        <f>SUM('Mountaineer:Charles Town'!N48)</f>
        <v>1272210.57</v>
      </c>
      <c r="O48" s="9">
        <f>SUM('Mountaineer:Charles Town'!O48)</f>
        <v>2669788.77</v>
      </c>
      <c r="P48" s="9">
        <f>SUM('Mountaineer:Charles Town'!P48)</f>
        <v>418489.47</v>
      </c>
      <c r="Q48" s="9">
        <f>SUM('Mountaineer:Charles Town'!Q48)</f>
        <v>63424.430000000008</v>
      </c>
      <c r="R48" s="9">
        <f>SUM('Mountaineer:Charles Town'!R48)</f>
        <v>56998.22</v>
      </c>
      <c r="S48" s="9">
        <f>SUM('Mountaineer:Charles Town'!S48)</f>
        <v>56998.22</v>
      </c>
      <c r="T48" s="9">
        <f>SUM('Mountaineer:Charles Town'!T48)</f>
        <v>101492.06</v>
      </c>
      <c r="U48" s="9">
        <f>SUM('Mountaineer:Charles Town'!U48)</f>
        <v>67391.58</v>
      </c>
      <c r="V48" s="9">
        <f>SUM('Mountaineer:Charles Town'!V48)</f>
        <v>8172.5419012127204</v>
      </c>
      <c r="W48" s="7">
        <f>SUM('Mountaineer:Charles Town'!W48)</f>
        <v>4162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Mountaineer!A49</f>
        <v>44681</v>
      </c>
      <c r="B49" s="9">
        <f>SUM('Mountaineer:Charles Town'!B49)</f>
        <v>111097335.53999999</v>
      </c>
      <c r="C49" s="9">
        <f>SUM('Mountaineer:Charles Town'!C49)</f>
        <v>99847093.580000013</v>
      </c>
      <c r="D49" s="9">
        <f>SUM('Mountaineer:Charles Town'!D49)</f>
        <v>1595554</v>
      </c>
      <c r="E49" s="9">
        <f>SUM('Mountaineer:Charles Town'!E49)</f>
        <v>9654687.9599999897</v>
      </c>
      <c r="F49" s="9">
        <f>SUM('Mountaineer:Charles Town'!F49)</f>
        <v>172417.36</v>
      </c>
      <c r="G49" s="9">
        <f>SUM('Mountaineer:Charles Town'!G49)</f>
        <v>213770.17</v>
      </c>
      <c r="H49" s="9">
        <f>SUM('Mountaineer:Charles Town'!H49)</f>
        <v>9268500.4299999885</v>
      </c>
      <c r="I49" s="9">
        <f>SUM('Mountaineer:Charles Town'!I49)+0.01</f>
        <v>513048.41000000003</v>
      </c>
      <c r="J49" s="9">
        <f>SUM('Mountaineer:Charles Town'!J49)</f>
        <v>319116.09999999998</v>
      </c>
      <c r="K49" s="9">
        <f>SUM('Mountaineer:Charles Town'!K49)</f>
        <v>193932.3</v>
      </c>
      <c r="L49" s="66">
        <f>SUM('Mountaineer:Charles Town'!L49)</f>
        <v>8755452.02999999</v>
      </c>
      <c r="M49" s="66">
        <f>SUM('Mountaineer:Charles Town'!M49)</f>
        <v>3863500.59</v>
      </c>
      <c r="N49" s="9">
        <f>SUM('Mountaineer:Charles Town'!N49)</f>
        <v>1241404.9300000002</v>
      </c>
      <c r="O49" s="9">
        <f>SUM('Mountaineer:Charles Town'!O49)</f>
        <v>2865848.8100000005</v>
      </c>
      <c r="P49" s="9">
        <f>SUM('Mountaineer:Charles Town'!P49)</f>
        <v>426922.72</v>
      </c>
      <c r="Q49" s="9">
        <f>SUM('Mountaineer:Charles Town'!Q49)</f>
        <v>64467.340000000004</v>
      </c>
      <c r="R49" s="9">
        <f>SUM('Mountaineer:Charles Town'!R49)</f>
        <v>59099.3</v>
      </c>
      <c r="S49" s="9">
        <f>SUM('Mountaineer:Charles Town'!S49)</f>
        <v>59099.3</v>
      </c>
      <c r="T49" s="9">
        <f>SUM('Mountaineer:Charles Town'!T49)</f>
        <v>103679.14</v>
      </c>
      <c r="U49" s="9">
        <f>SUM('Mountaineer:Charles Town'!U49)</f>
        <v>71429.899999999994</v>
      </c>
      <c r="V49" s="9">
        <f>SUM('Mountaineer:Charles Town'!V49)</f>
        <v>8373.9251722420959</v>
      </c>
      <c r="W49" s="7">
        <f>SUM('Mountaineer:Charles Town'!W49)</f>
        <v>4161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Mountaineer!A50</f>
        <v>44688</v>
      </c>
      <c r="B50" s="9">
        <f>SUM('Mountaineer:Charles Town'!B50)</f>
        <v>111390336.81</v>
      </c>
      <c r="C50" s="9">
        <f>SUM('Mountaineer:Charles Town'!C50)</f>
        <v>99901507.329999998</v>
      </c>
      <c r="D50" s="9">
        <f>SUM('Mountaineer:Charles Town'!D50)</f>
        <v>1483095</v>
      </c>
      <c r="E50" s="9">
        <f>SUM('Mountaineer:Charles Town'!E50)</f>
        <v>10005734.479999995</v>
      </c>
      <c r="F50" s="9">
        <f>SUM('Mountaineer:Charles Town'!F50)</f>
        <v>190151.62</v>
      </c>
      <c r="G50" s="9">
        <f>SUM('Mountaineer:Charles Town'!G50)</f>
        <v>210077.78</v>
      </c>
      <c r="H50" s="9">
        <f>SUM('Mountaineer:Charles Town'!H50)</f>
        <v>9605505.0799999945</v>
      </c>
      <c r="I50" s="9">
        <f>SUM('Mountaineer:Charles Town'!I50)+0.01</f>
        <v>504186.67000000004</v>
      </c>
      <c r="J50" s="9">
        <f>SUM('Mountaineer:Charles Town'!J50)</f>
        <v>313604.09999999998</v>
      </c>
      <c r="K50" s="9">
        <f>SUM('Mountaineer:Charles Town'!K50)</f>
        <v>190582.56</v>
      </c>
      <c r="L50" s="66">
        <f>SUM('Mountaineer:Charles Town'!L50)</f>
        <v>9101318.4199999943</v>
      </c>
      <c r="M50" s="66">
        <f>SUM('Mountaineer:Charles Town'!M50)</f>
        <v>4027917.4699999997</v>
      </c>
      <c r="N50" s="9">
        <f>SUM('Mountaineer:Charles Town'!N50)</f>
        <v>1369091.58</v>
      </c>
      <c r="O50" s="9">
        <f>SUM('Mountaineer:Charles Town'!O50)</f>
        <v>2880224.72</v>
      </c>
      <c r="P50" s="9">
        <f>SUM('Mountaineer:Charles Town'!P50)</f>
        <v>450865.70999999996</v>
      </c>
      <c r="Q50" s="9">
        <f>SUM('Mountaineer:Charles Town'!Q50)</f>
        <v>68324.78</v>
      </c>
      <c r="R50" s="9">
        <f>SUM('Mountaineer:Charles Town'!R50)</f>
        <v>61433.9</v>
      </c>
      <c r="S50" s="9">
        <f>SUM('Mountaineer:Charles Town'!S50)</f>
        <v>61433.9</v>
      </c>
      <c r="T50" s="9">
        <f>SUM('Mountaineer:Charles Town'!T50)</f>
        <v>109356.06</v>
      </c>
      <c r="U50" s="9">
        <f>SUM('Mountaineer:Charles Town'!U50)</f>
        <v>72670.3</v>
      </c>
      <c r="V50" s="9">
        <f>SUM('Mountaineer:Charles Town'!V50)</f>
        <v>8684.3755316134211</v>
      </c>
      <c r="W50" s="7">
        <f>SUM('Mountaineer:Charles Town'!W50)</f>
        <v>4224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Mountaineer!A51</f>
        <v>44695</v>
      </c>
      <c r="B51" s="9">
        <f>SUM('Mountaineer:Charles Town'!B51)</f>
        <v>105375112.92</v>
      </c>
      <c r="C51" s="9">
        <f>SUM('Mountaineer:Charles Town'!C51)</f>
        <v>94854031.290000007</v>
      </c>
      <c r="D51" s="9">
        <f>SUM('Mountaineer:Charles Town'!D51)</f>
        <v>1416196</v>
      </c>
      <c r="E51" s="9">
        <f>SUM('Mountaineer:Charles Town'!E51)</f>
        <v>9104885.6299999952</v>
      </c>
      <c r="F51" s="9">
        <f>SUM('Mountaineer:Charles Town'!F51)</f>
        <v>166077.46</v>
      </c>
      <c r="G51" s="9">
        <f>SUM('Mountaineer:Charles Town'!G51)</f>
        <v>198117.97</v>
      </c>
      <c r="H51" s="9">
        <f>SUM('Mountaineer:Charles Town'!H51)</f>
        <v>8740690.1999999955</v>
      </c>
      <c r="I51" s="9">
        <f>SUM('Mountaineer:Charles Town'!I51)+0.01</f>
        <v>475483.16000000003</v>
      </c>
      <c r="J51" s="9">
        <f>SUM('Mountaineer:Charles Town'!J51)</f>
        <v>295750.52</v>
      </c>
      <c r="K51" s="9">
        <f>SUM('Mountaineer:Charles Town'!K51)</f>
        <v>179732.63</v>
      </c>
      <c r="L51" s="66">
        <f>SUM('Mountaineer:Charles Town'!L51)</f>
        <v>8265207.0499999952</v>
      </c>
      <c r="M51" s="66">
        <f>SUM('Mountaineer:Charles Town'!M51)</f>
        <v>3650750.6</v>
      </c>
      <c r="N51" s="9">
        <f>SUM('Mountaineer:Charles Town'!N51)</f>
        <v>1195757.54</v>
      </c>
      <c r="O51" s="9">
        <f>SUM('Mountaineer:Charles Town'!O51)</f>
        <v>2675393.4899999998</v>
      </c>
      <c r="P51" s="9">
        <f>SUM('Mountaineer:Charles Town'!P51)</f>
        <v>405165.64</v>
      </c>
      <c r="Q51" s="9">
        <f>SUM('Mountaineer:Charles Town'!Q51)</f>
        <v>61255.34</v>
      </c>
      <c r="R51" s="9">
        <f>SUM('Mountaineer:Charles Town'!R51)</f>
        <v>55790.14</v>
      </c>
      <c r="S51" s="9">
        <f>SUM('Mountaineer:Charles Town'!S51)</f>
        <v>55790.14</v>
      </c>
      <c r="T51" s="9">
        <f>SUM('Mountaineer:Charles Town'!T51)</f>
        <v>98914.28</v>
      </c>
      <c r="U51" s="9">
        <f>SUM('Mountaineer:Charles Town'!U51)</f>
        <v>66389.88</v>
      </c>
      <c r="V51" s="9">
        <f>SUM('Mountaineer:Charles Town'!V51)</f>
        <v>7705.9049541515305</v>
      </c>
      <c r="W51" s="7">
        <f>SUM('Mountaineer:Charles Town'!W51)</f>
        <v>4302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Mountaineer!A52</f>
        <v>44702</v>
      </c>
      <c r="B52" s="9">
        <f>SUM('Mountaineer:Charles Town'!B52)</f>
        <v>101249554.85999998</v>
      </c>
      <c r="C52" s="9">
        <f>SUM('Mountaineer:Charles Town'!C52)</f>
        <v>91101129.439999998</v>
      </c>
      <c r="D52" s="9">
        <f>SUM('Mountaineer:Charles Town'!D52)</f>
        <v>1437490</v>
      </c>
      <c r="E52" s="9">
        <f>SUM('Mountaineer:Charles Town'!E52)</f>
        <v>8710935.4199999887</v>
      </c>
      <c r="F52" s="9">
        <f>SUM('Mountaineer:Charles Town'!F52)</f>
        <v>153905.67000000001</v>
      </c>
      <c r="G52" s="9">
        <f>SUM('Mountaineer:Charles Town'!G52)</f>
        <v>194531.75999999998</v>
      </c>
      <c r="H52" s="9">
        <f>SUM('Mountaineer:Charles Town'!H52)</f>
        <v>8362497.989999989</v>
      </c>
      <c r="I52" s="9">
        <f>SUM('Mountaineer:Charles Town'!I52)+0.01</f>
        <v>451604.24</v>
      </c>
      <c r="J52" s="9">
        <f>SUM('Mountaineer:Charles Town'!J52)</f>
        <v>280897.83</v>
      </c>
      <c r="K52" s="9">
        <f>SUM('Mountaineer:Charles Town'!K52)</f>
        <v>170706.4</v>
      </c>
      <c r="L52" s="66">
        <f>SUM('Mountaineer:Charles Town'!L52)</f>
        <v>7910893.7599999886</v>
      </c>
      <c r="M52" s="66">
        <f>SUM('Mountaineer:Charles Town'!M52)</f>
        <v>3495665.8899999997</v>
      </c>
      <c r="N52" s="9">
        <f>SUM('Mountaineer:Charles Town'!N52)</f>
        <v>1153936.69</v>
      </c>
      <c r="O52" s="9">
        <f>SUM('Mountaineer:Charles Town'!O52)</f>
        <v>2548842.9899999998</v>
      </c>
      <c r="P52" s="9">
        <f>SUM('Mountaineer:Charles Town'!P52)</f>
        <v>388646.48</v>
      </c>
      <c r="Q52" s="9">
        <f>SUM('Mountaineer:Charles Town'!Q52)</f>
        <v>58786.75</v>
      </c>
      <c r="R52" s="9">
        <f>SUM('Mountaineer:Charles Town'!R52)</f>
        <v>53398.539999999994</v>
      </c>
      <c r="S52" s="9">
        <f>SUM('Mountaineer:Charles Town'!S52)</f>
        <v>53398.539999999994</v>
      </c>
      <c r="T52" s="9">
        <f>SUM('Mountaineer:Charles Town'!T52)</f>
        <v>94519.66</v>
      </c>
      <c r="U52" s="9">
        <f>SUM('Mountaineer:Charles Town'!U52)</f>
        <v>63698.22</v>
      </c>
      <c r="V52" s="9">
        <f>SUM('Mountaineer:Charles Town'!V52)</f>
        <v>7411.7374755375422</v>
      </c>
      <c r="W52" s="7">
        <f>SUM('Mountaineer:Charles Town'!W52)</f>
        <v>4294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Mountaineer!A53</f>
        <v>44709</v>
      </c>
      <c r="B53" s="9">
        <f>SUM('Mountaineer:Charles Town'!B53)</f>
        <v>109795780.79000001</v>
      </c>
      <c r="C53" s="9">
        <f>SUM('Mountaineer:Charles Town'!C53)</f>
        <v>98657846.870000005</v>
      </c>
      <c r="D53" s="9">
        <f>SUM('Mountaineer:Charles Town'!D53)</f>
        <v>1431223</v>
      </c>
      <c r="E53" s="9">
        <f>SUM('Mountaineer:Charles Town'!E53)</f>
        <v>9706710.9200000037</v>
      </c>
      <c r="F53" s="9">
        <f>SUM('Mountaineer:Charles Town'!F53)</f>
        <v>136085.67000000001</v>
      </c>
      <c r="G53" s="9">
        <f>SUM('Mountaineer:Charles Town'!G53)</f>
        <v>252182.74000000002</v>
      </c>
      <c r="H53" s="9">
        <f>SUM('Mountaineer:Charles Town'!H53)</f>
        <v>9318442.5100000035</v>
      </c>
      <c r="I53" s="9">
        <f>SUM('Mountaineer:Charles Town'!I53)+0.01</f>
        <v>506276.2</v>
      </c>
      <c r="J53" s="9">
        <f>SUM('Mountaineer:Charles Town'!J53)</f>
        <v>314903.78999999998</v>
      </c>
      <c r="K53" s="9">
        <f>SUM('Mountaineer:Charles Town'!K53)</f>
        <v>191372.4</v>
      </c>
      <c r="L53" s="66">
        <f>SUM('Mountaineer:Charles Town'!L53)</f>
        <v>8812166.320000004</v>
      </c>
      <c r="M53" s="66">
        <f>SUM('Mountaineer:Charles Town'!M53)</f>
        <v>3892615.4800000004</v>
      </c>
      <c r="N53" s="9">
        <f>SUM('Mountaineer:Charles Town'!N53)</f>
        <v>1276704.2</v>
      </c>
      <c r="O53" s="9">
        <f>SUM('Mountaineer:Charles Town'!O53)</f>
        <v>2850158.48</v>
      </c>
      <c r="P53" s="9">
        <f>SUM('Mountaineer:Charles Town'!P53)</f>
        <v>432141.37</v>
      </c>
      <c r="Q53" s="9">
        <f>SUM('Mountaineer:Charles Town'!Q53)</f>
        <v>65339.23</v>
      </c>
      <c r="R53" s="9">
        <f>SUM('Mountaineer:Charles Town'!R53)</f>
        <v>59482.119999999995</v>
      </c>
      <c r="S53" s="9">
        <f>SUM('Mountaineer:Charles Town'!S53)</f>
        <v>59482.119999999995</v>
      </c>
      <c r="T53" s="9">
        <f>SUM('Mountaineer:Charles Town'!T53)</f>
        <v>105510.70000000001</v>
      </c>
      <c r="U53" s="9">
        <f>SUM('Mountaineer:Charles Town'!U53)</f>
        <v>70732.62</v>
      </c>
      <c r="V53" s="9">
        <f>SUM('Mountaineer:Charles Town'!V53)</f>
        <v>8367.3185276170916</v>
      </c>
      <c r="W53" s="7">
        <f>SUM('Mountaineer:Charles Town'!W53)</f>
        <v>4207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Mountaineer!A54</f>
        <v>44716</v>
      </c>
      <c r="B54" s="9">
        <f>SUM('Mountaineer:Charles Town'!B54)</f>
        <v>111687046.63</v>
      </c>
      <c r="C54" s="9">
        <f>SUM('Mountaineer:Charles Town'!C54)</f>
        <v>100458163.63000001</v>
      </c>
      <c r="D54" s="9">
        <f>SUM('Mountaineer:Charles Town'!D54)</f>
        <v>1562705</v>
      </c>
      <c r="E54" s="9">
        <f>SUM('Mountaineer:Charles Town'!E54)</f>
        <v>9666177.9999999814</v>
      </c>
      <c r="F54" s="9">
        <f>SUM('Mountaineer:Charles Town'!F54)</f>
        <v>131833.93</v>
      </c>
      <c r="G54" s="9">
        <f>SUM('Mountaineer:Charles Town'!G54)</f>
        <v>254813.18</v>
      </c>
      <c r="H54" s="9">
        <f>SUM('Mountaineer:Charles Town'!H54)</f>
        <v>9279530.889999982</v>
      </c>
      <c r="I54" s="9">
        <f>SUM('Mountaineer:Charles Town'!I54)+0.01</f>
        <v>591335.22</v>
      </c>
      <c r="J54" s="9">
        <f>SUM('Mountaineer:Charles Town'!J54)</f>
        <v>367810.51</v>
      </c>
      <c r="K54" s="9">
        <f>SUM('Mountaineer:Charles Town'!K54)</f>
        <v>223524.69999999998</v>
      </c>
      <c r="L54" s="66">
        <f>SUM('Mountaineer:Charles Town'!L54)</f>
        <v>8688195.6799999811</v>
      </c>
      <c r="M54" s="66">
        <f>SUM('Mountaineer:Charles Town'!M54)</f>
        <v>3800520.23</v>
      </c>
      <c r="N54" s="9">
        <f>SUM('Mountaineer:Charles Town'!N54)</f>
        <v>1009853.6200000001</v>
      </c>
      <c r="O54" s="9">
        <f>SUM('Mountaineer:Charles Town'!O54)</f>
        <v>3122833.6</v>
      </c>
      <c r="P54" s="9">
        <f>SUM('Mountaineer:Charles Town'!P54)</f>
        <v>403661.87</v>
      </c>
      <c r="Q54" s="9">
        <f>SUM('Mountaineer:Charles Town'!Q54)</f>
        <v>60271.86</v>
      </c>
      <c r="R54" s="9">
        <f>SUM('Mountaineer:Charles Town'!R54)</f>
        <v>58645.31</v>
      </c>
      <c r="S54" s="9">
        <f>SUM('Mountaineer:Charles Town'!S54)</f>
        <v>58645.31</v>
      </c>
      <c r="T54" s="9">
        <f>SUM('Mountaineer:Charles Town'!T54)</f>
        <v>104456.51999999999</v>
      </c>
      <c r="U54" s="9">
        <f>SUM('Mountaineer:Charles Town'!U54)</f>
        <v>69307.360000000001</v>
      </c>
      <c r="V54" s="9">
        <f>SUM('Mountaineer:Charles Town'!V54)</f>
        <v>8207.0790436344032</v>
      </c>
      <c r="W54" s="7">
        <f>SUM('Mountaineer:Charles Town'!W54)</f>
        <v>4250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Mountaineer!A55</f>
        <v>44723</v>
      </c>
      <c r="B55" s="9">
        <f>SUM('Mountaineer:Charles Town'!B55)</f>
        <v>103277999.97</v>
      </c>
      <c r="C55" s="9">
        <f>SUM('Mountaineer:Charles Town'!C55)</f>
        <v>92866315.75999999</v>
      </c>
      <c r="D55" s="9">
        <f>SUM('Mountaineer:Charles Town'!D55)</f>
        <v>1448249</v>
      </c>
      <c r="E55" s="9">
        <f>SUM('Mountaineer:Charles Town'!E55)</f>
        <v>8963435.2100000065</v>
      </c>
      <c r="F55" s="9">
        <f>SUM('Mountaineer:Charles Town'!F55)</f>
        <v>120673.87</v>
      </c>
      <c r="G55" s="9">
        <f>SUM('Mountaineer:Charles Town'!G55)</f>
        <v>237863.53000000003</v>
      </c>
      <c r="H55" s="9">
        <f>SUM('Mountaineer:Charles Town'!H55)</f>
        <v>8604897.8100000061</v>
      </c>
      <c r="I55" s="9">
        <f>SUM('Mountaineer:Charles Town'!I55)+0.01</f>
        <v>570872.51</v>
      </c>
      <c r="J55" s="9">
        <f>SUM('Mountaineer:Charles Town'!J55)</f>
        <v>355082.69</v>
      </c>
      <c r="K55" s="9">
        <f>SUM('Mountaineer:Charles Town'!K55)</f>
        <v>215789.81</v>
      </c>
      <c r="L55" s="66">
        <f>SUM('Mountaineer:Charles Town'!L55)</f>
        <v>8034025.310000007</v>
      </c>
      <c r="M55" s="66">
        <f>SUM('Mountaineer:Charles Town'!M55)</f>
        <v>3504618.42</v>
      </c>
      <c r="N55" s="9">
        <f>SUM('Mountaineer:Charles Town'!N55)</f>
        <v>868851.8</v>
      </c>
      <c r="O55" s="9">
        <f>SUM('Mountaineer:Charles Town'!O55)</f>
        <v>2969342.67</v>
      </c>
      <c r="P55" s="9">
        <f>SUM('Mountaineer:Charles Town'!P55)</f>
        <v>367421.58</v>
      </c>
      <c r="Q55" s="9">
        <f>SUM('Mountaineer:Charles Town'!Q55)</f>
        <v>54651</v>
      </c>
      <c r="R55" s="9">
        <f>SUM('Mountaineer:Charles Town'!R55)</f>
        <v>54229.66</v>
      </c>
      <c r="S55" s="9">
        <f>SUM('Mountaineer:Charles Town'!S55)</f>
        <v>54229.66</v>
      </c>
      <c r="T55" s="9">
        <f>SUM('Mountaineer:Charles Town'!T55)</f>
        <v>95908.6</v>
      </c>
      <c r="U55" s="9">
        <f>SUM('Mountaineer:Charles Town'!U55)</f>
        <v>64771.92</v>
      </c>
      <c r="V55" s="9">
        <f>SUM('Mountaineer:Charles Town'!V55)</f>
        <v>7970.2088384086237</v>
      </c>
      <c r="W55" s="7">
        <f>SUM('Mountaineer:Charles Town'!W55)</f>
        <v>4123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Mountaineer!A56</f>
        <v>44730</v>
      </c>
      <c r="B56" s="9">
        <f>SUM('Mountaineer:Charles Town'!B56)</f>
        <v>101106037.84999999</v>
      </c>
      <c r="C56" s="9">
        <f>SUM('Mountaineer:Charles Town'!C56)</f>
        <v>90523990.340000004</v>
      </c>
      <c r="D56" s="9">
        <f>SUM('Mountaineer:Charles Town'!D56)</f>
        <v>1499420</v>
      </c>
      <c r="E56" s="9">
        <f>SUM('Mountaineer:Charles Town'!E56)</f>
        <v>9082627.5099999998</v>
      </c>
      <c r="F56" s="9">
        <f>SUM('Mountaineer:Charles Town'!F56)</f>
        <v>113761.46</v>
      </c>
      <c r="G56" s="9">
        <f>SUM('Mountaineer:Charles Town'!G56)</f>
        <v>249543.63</v>
      </c>
      <c r="H56" s="9">
        <f>SUM('Mountaineer:Charles Town'!H56)</f>
        <v>8719322.4199999999</v>
      </c>
      <c r="I56" s="9">
        <f>SUM('Mountaineer:Charles Town'!I56)+0.01</f>
        <v>598904.73</v>
      </c>
      <c r="J56" s="9">
        <f>SUM('Mountaineer:Charles Town'!J56)</f>
        <v>372518.74</v>
      </c>
      <c r="K56" s="9">
        <f>SUM('Mountaineer:Charles Town'!K56)</f>
        <v>226385.97999999998</v>
      </c>
      <c r="L56" s="66">
        <f>SUM('Mountaineer:Charles Town'!L56)</f>
        <v>8120417.6999999993</v>
      </c>
      <c r="M56" s="66">
        <f>SUM('Mountaineer:Charles Town'!M56)</f>
        <v>3533437.8099999996</v>
      </c>
      <c r="N56" s="9">
        <f>SUM('Mountaineer:Charles Town'!N56)</f>
        <v>819082.63</v>
      </c>
      <c r="O56" s="9">
        <f>SUM('Mountaineer:Charles Town'!O56)</f>
        <v>3075557.4</v>
      </c>
      <c r="P56" s="9">
        <f>SUM('Mountaineer:Charles Town'!P56)</f>
        <v>366052.47</v>
      </c>
      <c r="Q56" s="9">
        <f>SUM('Mountaineer:Charles Town'!Q56)</f>
        <v>54253.45</v>
      </c>
      <c r="R56" s="9">
        <f>SUM('Mountaineer:Charles Town'!R56)</f>
        <v>54812.81</v>
      </c>
      <c r="S56" s="9">
        <f>SUM('Mountaineer:Charles Town'!S56)</f>
        <v>54812.81</v>
      </c>
      <c r="T56" s="9">
        <f>SUM('Mountaineer:Charles Town'!T56)</f>
        <v>96933.66</v>
      </c>
      <c r="U56" s="9">
        <f>SUM('Mountaineer:Charles Town'!U56)</f>
        <v>65474.66</v>
      </c>
      <c r="V56" s="9">
        <f>SUM('Mountaineer:Charles Town'!V56)</f>
        <v>7963.2506530574756</v>
      </c>
      <c r="W56" s="7">
        <f>SUM('Mountaineer:Charles Town'!W56)</f>
        <v>4043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Mountaineer!A57</f>
        <v>44737</v>
      </c>
      <c r="B57" s="9">
        <f>SUM('Mountaineer:Charles Town'!B57)</f>
        <v>104218653.64</v>
      </c>
      <c r="C57" s="9">
        <f>SUM('Mountaineer:Charles Town'!C57)</f>
        <v>93569809.689999998</v>
      </c>
      <c r="D57" s="9">
        <f>SUM('Mountaineer:Charles Town'!D57)</f>
        <v>1662423</v>
      </c>
      <c r="E57" s="9">
        <f>SUM('Mountaineer:Charles Town'!E57)</f>
        <v>8986420.950000003</v>
      </c>
      <c r="F57" s="9">
        <f>SUM('Mountaineer:Charles Town'!F57)</f>
        <v>114603.9</v>
      </c>
      <c r="G57" s="9">
        <f>SUM('Mountaineer:Charles Town'!G57)</f>
        <v>244852.96</v>
      </c>
      <c r="H57" s="9">
        <f>SUM('Mountaineer:Charles Town'!H57)</f>
        <v>8626964.0900000036</v>
      </c>
      <c r="I57" s="9">
        <f>SUM('Mountaineer:Charles Town'!I57)+0.01</f>
        <v>587647.06000000006</v>
      </c>
      <c r="J57" s="9">
        <f>SUM('Mountaineer:Charles Town'!J57)</f>
        <v>365516.47</v>
      </c>
      <c r="K57" s="9">
        <f>SUM('Mountaineer:Charles Town'!K57)</f>
        <v>222130.58000000002</v>
      </c>
      <c r="L57" s="66">
        <f>SUM('Mountaineer:Charles Town'!L57)</f>
        <v>8039317.0400000028</v>
      </c>
      <c r="M57" s="66">
        <f>SUM('Mountaineer:Charles Town'!M57)</f>
        <v>3500285.3600000003</v>
      </c>
      <c r="N57" s="9">
        <f>SUM('Mountaineer:Charles Town'!N57)</f>
        <v>825148.06</v>
      </c>
      <c r="O57" s="9">
        <f>SUM('Mountaineer:Charles Town'!O57)</f>
        <v>3026938.6899999995</v>
      </c>
      <c r="P57" s="9">
        <f>SUM('Mountaineer:Charles Town'!P57)</f>
        <v>363678.73</v>
      </c>
      <c r="Q57" s="9">
        <f>SUM('Mountaineer:Charles Town'!Q57)</f>
        <v>53949.06</v>
      </c>
      <c r="R57" s="9">
        <f>SUM('Mountaineer:Charles Town'!R57)</f>
        <v>54265.39</v>
      </c>
      <c r="S57" s="9">
        <f>SUM('Mountaineer:Charles Town'!S57)</f>
        <v>54265.39</v>
      </c>
      <c r="T57" s="9">
        <f>SUM('Mountaineer:Charles Town'!T57)</f>
        <v>95058.760000000009</v>
      </c>
      <c r="U57" s="9">
        <f>SUM('Mountaineer:Charles Town'!U57)</f>
        <v>65727.600000000006</v>
      </c>
      <c r="V57" s="9">
        <f>SUM('Mountaineer:Charles Town'!V57)</f>
        <v>7844.5398822209863</v>
      </c>
      <c r="W57" s="7">
        <f>SUM('Mountaineer:Charles Town'!W57)</f>
        <v>4119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 t="str">
        <f>Mountaineer!A58</f>
        <v>6/30/2022 ***</v>
      </c>
      <c r="B58" s="9">
        <f>SUM('Mountaineer:Charles Town'!B58)</f>
        <v>62036321.769999996</v>
      </c>
      <c r="C58" s="9">
        <f>SUM('Mountaineer:Charles Town'!C58)</f>
        <v>55755325.899999999</v>
      </c>
      <c r="D58" s="9">
        <f>SUM('Mountaineer:Charles Town'!D58)</f>
        <v>943439</v>
      </c>
      <c r="E58" s="9">
        <f>SUM('Mountaineer:Charles Town'!E58)</f>
        <v>5337556.8699999992</v>
      </c>
      <c r="F58" s="9">
        <f>SUM('Mountaineer:Charles Town'!F58)</f>
        <v>63414.170000000006</v>
      </c>
      <c r="G58" s="9">
        <f>SUM('Mountaineer:Charles Town'!G58)</f>
        <v>150088.12</v>
      </c>
      <c r="H58" s="9">
        <f>SUM('Mountaineer:Charles Town'!H58)</f>
        <v>5124054.5799999991</v>
      </c>
      <c r="I58" s="9">
        <f>SUM('Mountaineer:Charles Town'!I58)+0.01</f>
        <v>360211.5</v>
      </c>
      <c r="J58" s="9">
        <f>SUM('Mountaineer:Charles Town'!J58)</f>
        <v>224051.55</v>
      </c>
      <c r="K58" s="9">
        <f>SUM('Mountaineer:Charles Town'!K58)</f>
        <v>136159.94</v>
      </c>
      <c r="L58" s="66">
        <f>SUM('Mountaineer:Charles Town'!L58)</f>
        <v>4763843.0899999989</v>
      </c>
      <c r="M58" s="66">
        <f>SUM('Mountaineer:Charles Town'!M58)</f>
        <v>2069301.4</v>
      </c>
      <c r="N58" s="9">
        <f>SUM('Mountaineer:Charles Town'!N58)</f>
        <v>456581.95</v>
      </c>
      <c r="O58" s="9">
        <f>SUM('Mountaineer:Charles Town'!O58)</f>
        <v>1834351.31</v>
      </c>
      <c r="P58" s="9">
        <f>SUM('Mountaineer:Charles Town'!P58)</f>
        <v>212590.72999999998</v>
      </c>
      <c r="Q58" s="9">
        <f>SUM('Mountaineer:Charles Town'!Q58)</f>
        <v>31428.920000000002</v>
      </c>
      <c r="R58" s="9">
        <f>SUM('Mountaineer:Charles Town'!R58)</f>
        <v>32155.949999999997</v>
      </c>
      <c r="S58" s="9">
        <f>SUM('Mountaineer:Charles Town'!S58)</f>
        <v>32155.949999999997</v>
      </c>
      <c r="T58" s="9">
        <f>SUM('Mountaineer:Charles Town'!T58)</f>
        <v>55528.04</v>
      </c>
      <c r="U58" s="9">
        <f>SUM('Mountaineer:Charles Town'!U58)</f>
        <v>39748.839999999997</v>
      </c>
      <c r="V58" s="9">
        <f>SUM('Mountaineer:Charles Town'!V58)</f>
        <v>4587.2314011045655</v>
      </c>
      <c r="W58" s="7">
        <f>SUM('Mountaineer:Charles Town'!W58)</f>
        <v>4129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60" spans="1:96" ht="15" customHeight="1" thickBot="1" x14ac:dyDescent="0.3">
      <c r="B60" s="14">
        <f t="shared" ref="B60:U60" si="0">SUM(B6:B59)</f>
        <v>5435672271.9400015</v>
      </c>
      <c r="C60" s="14">
        <f t="shared" si="0"/>
        <v>4883778972.6809988</v>
      </c>
      <c r="D60" s="14">
        <f t="shared" si="0"/>
        <v>77128316.640000001</v>
      </c>
      <c r="E60" s="14">
        <f t="shared" si="0"/>
        <v>474764982.61900014</v>
      </c>
      <c r="F60" s="14">
        <f t="shared" si="0"/>
        <v>13728615.809999997</v>
      </c>
      <c r="G60" s="14">
        <f t="shared" si="0"/>
        <v>5261983.5</v>
      </c>
      <c r="H60" s="14">
        <f t="shared" si="0"/>
        <v>455774383.30900007</v>
      </c>
      <c r="I60" s="14">
        <f t="shared" si="0"/>
        <v>12093215.470000001</v>
      </c>
      <c r="J60" s="14">
        <f t="shared" si="0"/>
        <v>7521979.9499999993</v>
      </c>
      <c r="K60" s="14">
        <f t="shared" si="0"/>
        <v>4571235.4000000004</v>
      </c>
      <c r="L60" s="14">
        <f t="shared" si="0"/>
        <v>443681167.95900017</v>
      </c>
      <c r="M60" s="14">
        <f t="shared" si="0"/>
        <v>201413990.92000002</v>
      </c>
      <c r="N60" s="14">
        <f t="shared" si="0"/>
        <v>100452668.92000003</v>
      </c>
      <c r="O60" s="14">
        <f t="shared" si="0"/>
        <v>98045309.769999981</v>
      </c>
      <c r="P60" s="14">
        <f t="shared" si="0"/>
        <v>25013262.319999997</v>
      </c>
      <c r="Q60" s="14">
        <f t="shared" si="0"/>
        <v>3892616.9899999998</v>
      </c>
      <c r="R60" s="14">
        <f t="shared" si="0"/>
        <v>2994847.8600000017</v>
      </c>
      <c r="S60" s="14">
        <f t="shared" si="0"/>
        <v>2994847.8600000017</v>
      </c>
      <c r="T60" s="14">
        <f t="shared" si="0"/>
        <v>6337752.509999997</v>
      </c>
      <c r="U60" s="14">
        <f t="shared" si="0"/>
        <v>2535870.8100000005</v>
      </c>
      <c r="V60" s="14">
        <f>AVERAGE(V6:V59)</f>
        <v>7398.3176649272582</v>
      </c>
      <c r="W60" s="16">
        <f>AVERAGE(W6:W59)</f>
        <v>4395.5471698113206</v>
      </c>
    </row>
    <row r="61" spans="1:96" ht="15" customHeight="1" thickTop="1" x14ac:dyDescent="0.25"/>
    <row r="62" spans="1:96" ht="15" customHeight="1" x14ac:dyDescent="0.25">
      <c r="A62" s="1" t="s">
        <v>49</v>
      </c>
    </row>
    <row r="63" spans="1:96" ht="15" customHeight="1" x14ac:dyDescent="0.25">
      <c r="A63" s="1" t="s">
        <v>16</v>
      </c>
    </row>
    <row r="64" spans="1:96" ht="15" customHeight="1" x14ac:dyDescent="0.25">
      <c r="A64" s="1" t="s">
        <v>55</v>
      </c>
    </row>
  </sheetData>
  <mergeCells count="1">
    <mergeCell ref="A4:W4"/>
  </mergeCells>
  <pageMargins left="0.25" right="0.25" top="0.5" bottom="0.25" header="0" footer="0"/>
  <pageSetup paperSize="5" scale="49" orientation="landscape" r:id="rId1"/>
  <headerFooter>
    <oddHeader>&amp;CALL TRACKS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Weekly</vt:lpstr>
      <vt:lpstr>YTD Summary</vt:lpstr>
      <vt:lpstr>Mountaineer</vt:lpstr>
      <vt:lpstr>Wheeling</vt:lpstr>
      <vt:lpstr>Mardi Gras</vt:lpstr>
      <vt:lpstr>Charles Town</vt:lpstr>
      <vt:lpstr>Total</vt:lpstr>
      <vt:lpstr>'Charles Town'!Print_Area</vt:lpstr>
      <vt:lpstr>'Mardi Gras'!Print_Area</vt:lpstr>
      <vt:lpstr>Mountaineer!Print_Area</vt:lpstr>
      <vt:lpstr>Total!Print_Area</vt:lpstr>
      <vt:lpstr>Weekly!Print_Area</vt:lpstr>
      <vt:lpstr>Wheeling!Print_Area</vt:lpstr>
      <vt:lpstr>'YTD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ITSUPPORT</cp:lastModifiedBy>
  <cp:lastPrinted>2020-10-14T18:00:29Z</cp:lastPrinted>
  <dcterms:created xsi:type="dcterms:W3CDTF">2017-06-07T17:06:12Z</dcterms:created>
  <dcterms:modified xsi:type="dcterms:W3CDTF">2022-07-07T18:35:27Z</dcterms:modified>
</cp:coreProperties>
</file>